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/>
  <bookViews>
    <workbookView xWindow="240" yWindow="570" windowWidth="23655" windowHeight="8895" tabRatio="784" activeTab="1"/>
  </bookViews>
  <sheets>
    <sheet name="Шевч,4" sheetId="1" r:id="rId1"/>
    <sheet name="Шевч,2" sheetId="2" r:id="rId2"/>
    <sheet name="Шевч,1а" sheetId="3" r:id="rId3"/>
    <sheet name="Шевч,3а" sheetId="4" r:id="rId4"/>
    <sheet name="Базарная,4" sheetId="5" r:id="rId5"/>
    <sheet name="Гончарова,10" sheetId="6" r:id="rId6"/>
    <sheet name="Свободы,6" sheetId="7" r:id="rId7"/>
    <sheet name="Титова,20а" sheetId="8" r:id="rId8"/>
  </sheets>
  <definedNames>
    <definedName name="_xlnm.Print_Titles" localSheetId="0">'Шевч,4'!$1:$1</definedName>
  </definedNames>
  <calcPr calcId="124519"/>
</workbook>
</file>

<file path=xl/calcChain.xml><?xml version="1.0" encoding="utf-8"?>
<calcChain xmlns="http://schemas.openxmlformats.org/spreadsheetml/2006/main">
  <c r="K45" i="8"/>
  <c r="J45"/>
  <c r="I45"/>
  <c r="H45"/>
  <c r="L45" s="1"/>
  <c r="K44"/>
  <c r="J44"/>
  <c r="I44"/>
  <c r="H44"/>
  <c r="L44" s="1"/>
  <c r="K43"/>
  <c r="J43"/>
  <c r="I43"/>
  <c r="H43"/>
  <c r="L43" s="1"/>
  <c r="K42"/>
  <c r="J42"/>
  <c r="I42"/>
  <c r="H42"/>
  <c r="L42" s="1"/>
  <c r="K41"/>
  <c r="J41"/>
  <c r="I41"/>
  <c r="H41"/>
  <c r="L41" s="1"/>
  <c r="K40"/>
  <c r="J40"/>
  <c r="I40"/>
  <c r="H40"/>
  <c r="L40" s="1"/>
  <c r="K39"/>
  <c r="J39"/>
  <c r="I39"/>
  <c r="H39"/>
  <c r="L39" s="1"/>
  <c r="K38"/>
  <c r="J38"/>
  <c r="I38"/>
  <c r="H38"/>
  <c r="L38" s="1"/>
  <c r="K37"/>
  <c r="J37"/>
  <c r="I37"/>
  <c r="H37"/>
  <c r="L37" s="1"/>
  <c r="K36"/>
  <c r="J36"/>
  <c r="I36"/>
  <c r="H36"/>
  <c r="L36" s="1"/>
  <c r="K35"/>
  <c r="J35"/>
  <c r="I35"/>
  <c r="H35"/>
  <c r="L35" s="1"/>
  <c r="K34"/>
  <c r="J34"/>
  <c r="I34"/>
  <c r="H34"/>
  <c r="L34" s="1"/>
  <c r="K33"/>
  <c r="J33"/>
  <c r="I33"/>
  <c r="H33"/>
  <c r="L33" s="1"/>
  <c r="K32"/>
  <c r="J32"/>
  <c r="I32"/>
  <c r="H32"/>
  <c r="L32" s="1"/>
  <c r="K31"/>
  <c r="J31"/>
  <c r="I31"/>
  <c r="H31"/>
  <c r="L31" s="1"/>
  <c r="K30"/>
  <c r="J30"/>
  <c r="I30"/>
  <c r="H30"/>
  <c r="L30" s="1"/>
  <c r="K29"/>
  <c r="J29"/>
  <c r="I29"/>
  <c r="H29"/>
  <c r="L29" s="1"/>
  <c r="K28"/>
  <c r="J28"/>
  <c r="I28"/>
  <c r="H28"/>
  <c r="L28" s="1"/>
  <c r="K27"/>
  <c r="J27"/>
  <c r="I27"/>
  <c r="H27"/>
  <c r="L27" s="1"/>
  <c r="K26"/>
  <c r="J26"/>
  <c r="I26"/>
  <c r="H26"/>
  <c r="L26" s="1"/>
  <c r="K25"/>
  <c r="J25"/>
  <c r="I25"/>
  <c r="H25"/>
  <c r="L25" s="1"/>
  <c r="K24"/>
  <c r="J24"/>
  <c r="I24"/>
  <c r="H24"/>
  <c r="L24" s="1"/>
  <c r="K23"/>
  <c r="J23"/>
  <c r="I23"/>
  <c r="H23"/>
  <c r="L23" s="1"/>
  <c r="K22"/>
  <c r="J22"/>
  <c r="I22"/>
  <c r="H22"/>
  <c r="L22" s="1"/>
  <c r="K21"/>
  <c r="J21"/>
  <c r="I21"/>
  <c r="H21"/>
  <c r="L21" s="1"/>
  <c r="K20"/>
  <c r="J20"/>
  <c r="I20"/>
  <c r="H20"/>
  <c r="L20" s="1"/>
  <c r="K19"/>
  <c r="J19"/>
  <c r="I19"/>
  <c r="H19"/>
  <c r="L19" s="1"/>
  <c r="K18"/>
  <c r="J18"/>
  <c r="I18"/>
  <c r="H18"/>
  <c r="L18" s="1"/>
  <c r="K17"/>
  <c r="J17"/>
  <c r="I17"/>
  <c r="H17"/>
  <c r="L17" s="1"/>
  <c r="K16"/>
  <c r="J16"/>
  <c r="I16"/>
  <c r="H16"/>
  <c r="L16" s="1"/>
  <c r="K15"/>
  <c r="J15"/>
  <c r="I15"/>
  <c r="H15"/>
  <c r="L15" s="1"/>
  <c r="K14"/>
  <c r="J14"/>
  <c r="I14"/>
  <c r="H14"/>
  <c r="L14" s="1"/>
  <c r="K13"/>
  <c r="J13"/>
  <c r="I13"/>
  <c r="H13"/>
  <c r="L13" s="1"/>
  <c r="K12"/>
  <c r="J12"/>
  <c r="I12"/>
  <c r="H12"/>
  <c r="L12" s="1"/>
  <c r="K11"/>
  <c r="J11"/>
  <c r="I11"/>
  <c r="H11"/>
  <c r="L11" s="1"/>
  <c r="K10"/>
  <c r="J10"/>
  <c r="I10"/>
  <c r="H10"/>
  <c r="L10" s="1"/>
  <c r="K9"/>
  <c r="J9"/>
  <c r="I9"/>
  <c r="H9"/>
  <c r="L9" s="1"/>
  <c r="K8"/>
  <c r="J8"/>
  <c r="I8"/>
  <c r="H8"/>
  <c r="L8" s="1"/>
  <c r="K7"/>
  <c r="J7"/>
  <c r="I7"/>
  <c r="H7"/>
  <c r="L7" s="1"/>
  <c r="K6"/>
  <c r="J6"/>
  <c r="I6"/>
  <c r="H6"/>
  <c r="L6" s="1"/>
  <c r="K5"/>
  <c r="J5"/>
  <c r="I5"/>
  <c r="H5"/>
  <c r="L5" s="1"/>
  <c r="K4"/>
  <c r="K46" s="1"/>
  <c r="J4"/>
  <c r="J46" s="1"/>
  <c r="I4"/>
  <c r="I46" s="1"/>
  <c r="H4"/>
  <c r="H46" s="1"/>
  <c r="K38" i="7"/>
  <c r="J38"/>
  <c r="I38"/>
  <c r="H38"/>
  <c r="L38" s="1"/>
  <c r="K37"/>
  <c r="J37"/>
  <c r="I37"/>
  <c r="H37"/>
  <c r="L37" s="1"/>
  <c r="K36"/>
  <c r="J36"/>
  <c r="I36"/>
  <c r="H36"/>
  <c r="L36" s="1"/>
  <c r="K35"/>
  <c r="J35"/>
  <c r="I35"/>
  <c r="H35"/>
  <c r="L35" s="1"/>
  <c r="K34"/>
  <c r="J34"/>
  <c r="I34"/>
  <c r="H34"/>
  <c r="L34" s="1"/>
  <c r="K33"/>
  <c r="J33"/>
  <c r="I33"/>
  <c r="H33"/>
  <c r="L33" s="1"/>
  <c r="K32"/>
  <c r="J32"/>
  <c r="I32"/>
  <c r="H32"/>
  <c r="L32" s="1"/>
  <c r="K31"/>
  <c r="J31"/>
  <c r="I31"/>
  <c r="H31"/>
  <c r="L31" s="1"/>
  <c r="K30"/>
  <c r="J30"/>
  <c r="I30"/>
  <c r="H30"/>
  <c r="L30" s="1"/>
  <c r="K29"/>
  <c r="J29"/>
  <c r="I29"/>
  <c r="H29"/>
  <c r="L29" s="1"/>
  <c r="K28"/>
  <c r="J28"/>
  <c r="I28"/>
  <c r="H28"/>
  <c r="L28" s="1"/>
  <c r="K27"/>
  <c r="J27"/>
  <c r="I27"/>
  <c r="H27"/>
  <c r="L27" s="1"/>
  <c r="K26"/>
  <c r="J26"/>
  <c r="I26"/>
  <c r="H26"/>
  <c r="L26" s="1"/>
  <c r="K25"/>
  <c r="J25"/>
  <c r="I25"/>
  <c r="H25"/>
  <c r="L25" s="1"/>
  <c r="K24"/>
  <c r="J24"/>
  <c r="I24"/>
  <c r="H24"/>
  <c r="L24" s="1"/>
  <c r="K23"/>
  <c r="J23"/>
  <c r="I23"/>
  <c r="H23"/>
  <c r="L23" s="1"/>
  <c r="K22"/>
  <c r="J22"/>
  <c r="I22"/>
  <c r="H22"/>
  <c r="L22" s="1"/>
  <c r="K21"/>
  <c r="J21"/>
  <c r="I21"/>
  <c r="H21"/>
  <c r="L21" s="1"/>
  <c r="K20"/>
  <c r="J20"/>
  <c r="I20"/>
  <c r="H20"/>
  <c r="L20" s="1"/>
  <c r="K19"/>
  <c r="J19"/>
  <c r="I19"/>
  <c r="H19"/>
  <c r="L19" s="1"/>
  <c r="K18"/>
  <c r="J18"/>
  <c r="I18"/>
  <c r="H18"/>
  <c r="L18" s="1"/>
  <c r="K17"/>
  <c r="J17"/>
  <c r="I17"/>
  <c r="H17"/>
  <c r="L17" s="1"/>
  <c r="K16"/>
  <c r="J16"/>
  <c r="I16"/>
  <c r="H16"/>
  <c r="L16" s="1"/>
  <c r="K15"/>
  <c r="J15"/>
  <c r="I15"/>
  <c r="H15"/>
  <c r="L15" s="1"/>
  <c r="K14"/>
  <c r="J14"/>
  <c r="I14"/>
  <c r="H14"/>
  <c r="L14" s="1"/>
  <c r="K13"/>
  <c r="J13"/>
  <c r="I13"/>
  <c r="H13"/>
  <c r="L13" s="1"/>
  <c r="K12"/>
  <c r="J12"/>
  <c r="I12"/>
  <c r="H12"/>
  <c r="L12" s="1"/>
  <c r="K11"/>
  <c r="J11"/>
  <c r="I11"/>
  <c r="H11"/>
  <c r="L11" s="1"/>
  <c r="K10"/>
  <c r="J10"/>
  <c r="I10"/>
  <c r="H10"/>
  <c r="L10" s="1"/>
  <c r="K9"/>
  <c r="J9"/>
  <c r="I9"/>
  <c r="H9"/>
  <c r="L9" s="1"/>
  <c r="K8"/>
  <c r="J8"/>
  <c r="I8"/>
  <c r="H8"/>
  <c r="L8" s="1"/>
  <c r="K7"/>
  <c r="J7"/>
  <c r="I7"/>
  <c r="H7"/>
  <c r="L7" s="1"/>
  <c r="K6"/>
  <c r="J6"/>
  <c r="I6"/>
  <c r="H6"/>
  <c r="L6" s="1"/>
  <c r="K5"/>
  <c r="J5"/>
  <c r="I5"/>
  <c r="H5"/>
  <c r="L5" s="1"/>
  <c r="K4"/>
  <c r="K39" s="1"/>
  <c r="J4"/>
  <c r="J39" s="1"/>
  <c r="I4"/>
  <c r="I39" s="1"/>
  <c r="H4"/>
  <c r="L4" s="1"/>
  <c r="L39" s="1"/>
  <c r="K45" i="6"/>
  <c r="J45"/>
  <c r="I45"/>
  <c r="H45"/>
  <c r="L45" s="1"/>
  <c r="K44"/>
  <c r="J44"/>
  <c r="I44"/>
  <c r="H44"/>
  <c r="L44" s="1"/>
  <c r="K43"/>
  <c r="J43"/>
  <c r="I43"/>
  <c r="H43"/>
  <c r="L43" s="1"/>
  <c r="K42"/>
  <c r="J42"/>
  <c r="I42"/>
  <c r="H42"/>
  <c r="L42" s="1"/>
  <c r="K41"/>
  <c r="J41"/>
  <c r="I41"/>
  <c r="H41"/>
  <c r="L41" s="1"/>
  <c r="K40"/>
  <c r="J40"/>
  <c r="I40"/>
  <c r="H40"/>
  <c r="L40" s="1"/>
  <c r="K39"/>
  <c r="J39"/>
  <c r="I39"/>
  <c r="H39"/>
  <c r="L39" s="1"/>
  <c r="K38"/>
  <c r="J38"/>
  <c r="I38"/>
  <c r="H38"/>
  <c r="L38" s="1"/>
  <c r="K37"/>
  <c r="J37"/>
  <c r="I37"/>
  <c r="H37"/>
  <c r="L37" s="1"/>
  <c r="K36"/>
  <c r="J36"/>
  <c r="I36"/>
  <c r="H36"/>
  <c r="L36" s="1"/>
  <c r="K35"/>
  <c r="J35"/>
  <c r="I35"/>
  <c r="H35"/>
  <c r="L35" s="1"/>
  <c r="K34"/>
  <c r="J34"/>
  <c r="I34"/>
  <c r="H34"/>
  <c r="L34" s="1"/>
  <c r="K33"/>
  <c r="J33"/>
  <c r="I33"/>
  <c r="H33"/>
  <c r="L33" s="1"/>
  <c r="K32"/>
  <c r="J32"/>
  <c r="I32"/>
  <c r="H32"/>
  <c r="L32" s="1"/>
  <c r="K31"/>
  <c r="J31"/>
  <c r="I31"/>
  <c r="H31"/>
  <c r="L31" s="1"/>
  <c r="K30"/>
  <c r="J30"/>
  <c r="I30"/>
  <c r="H30"/>
  <c r="L30" s="1"/>
  <c r="K29"/>
  <c r="J29"/>
  <c r="I29"/>
  <c r="H29"/>
  <c r="L29" s="1"/>
  <c r="K28"/>
  <c r="J28"/>
  <c r="I28"/>
  <c r="H28"/>
  <c r="L28" s="1"/>
  <c r="K27"/>
  <c r="J27"/>
  <c r="I27"/>
  <c r="H27"/>
  <c r="L27" s="1"/>
  <c r="K26"/>
  <c r="J26"/>
  <c r="I26"/>
  <c r="H26"/>
  <c r="L26" s="1"/>
  <c r="K25"/>
  <c r="J25"/>
  <c r="I25"/>
  <c r="H25"/>
  <c r="L25" s="1"/>
  <c r="K24"/>
  <c r="J24"/>
  <c r="I24"/>
  <c r="H24"/>
  <c r="L24" s="1"/>
  <c r="K23"/>
  <c r="J23"/>
  <c r="I23"/>
  <c r="H23"/>
  <c r="L23" s="1"/>
  <c r="K22"/>
  <c r="J22"/>
  <c r="I22"/>
  <c r="H22"/>
  <c r="L22" s="1"/>
  <c r="K21"/>
  <c r="J21"/>
  <c r="I21"/>
  <c r="H21"/>
  <c r="L21" s="1"/>
  <c r="K20"/>
  <c r="J20"/>
  <c r="I20"/>
  <c r="H20"/>
  <c r="L20" s="1"/>
  <c r="K19"/>
  <c r="J19"/>
  <c r="I19"/>
  <c r="H19"/>
  <c r="L19" s="1"/>
  <c r="K18"/>
  <c r="J18"/>
  <c r="I18"/>
  <c r="H18"/>
  <c r="L18" s="1"/>
  <c r="K17"/>
  <c r="J17"/>
  <c r="I17"/>
  <c r="H17"/>
  <c r="L17" s="1"/>
  <c r="K16"/>
  <c r="J16"/>
  <c r="I16"/>
  <c r="H16"/>
  <c r="L16" s="1"/>
  <c r="K15"/>
  <c r="J15"/>
  <c r="I15"/>
  <c r="H15"/>
  <c r="L15" s="1"/>
  <c r="K14"/>
  <c r="J14"/>
  <c r="I14"/>
  <c r="H14"/>
  <c r="L14" s="1"/>
  <c r="K13"/>
  <c r="J13"/>
  <c r="I13"/>
  <c r="H13"/>
  <c r="L13" s="1"/>
  <c r="K12"/>
  <c r="J12"/>
  <c r="I12"/>
  <c r="H12"/>
  <c r="L12" s="1"/>
  <c r="K11"/>
  <c r="J11"/>
  <c r="I11"/>
  <c r="H11"/>
  <c r="L11" s="1"/>
  <c r="K10"/>
  <c r="J10"/>
  <c r="I10"/>
  <c r="H10"/>
  <c r="L10" s="1"/>
  <c r="K9"/>
  <c r="J9"/>
  <c r="I9"/>
  <c r="H9"/>
  <c r="L9" s="1"/>
  <c r="K8"/>
  <c r="J8"/>
  <c r="I8"/>
  <c r="H8"/>
  <c r="L8" s="1"/>
  <c r="K7"/>
  <c r="J7"/>
  <c r="I7"/>
  <c r="H7"/>
  <c r="L7" s="1"/>
  <c r="K6"/>
  <c r="J6"/>
  <c r="I6"/>
  <c r="H6"/>
  <c r="L6" s="1"/>
  <c r="K5"/>
  <c r="J5"/>
  <c r="I5"/>
  <c r="H5"/>
  <c r="L5" s="1"/>
  <c r="K4"/>
  <c r="K46" s="1"/>
  <c r="J4"/>
  <c r="J46" s="1"/>
  <c r="I4"/>
  <c r="I46" s="1"/>
  <c r="H4"/>
  <c r="H46" s="1"/>
  <c r="K45" i="5"/>
  <c r="J45"/>
  <c r="I45"/>
  <c r="H45"/>
  <c r="L45" s="1"/>
  <c r="K44"/>
  <c r="J44"/>
  <c r="I44"/>
  <c r="H44"/>
  <c r="L44" s="1"/>
  <c r="K43"/>
  <c r="J43"/>
  <c r="I43"/>
  <c r="H43"/>
  <c r="L43" s="1"/>
  <c r="K42"/>
  <c r="J42"/>
  <c r="I42"/>
  <c r="H42"/>
  <c r="L42" s="1"/>
  <c r="K41"/>
  <c r="J41"/>
  <c r="I41"/>
  <c r="H41"/>
  <c r="L41" s="1"/>
  <c r="K40"/>
  <c r="J40"/>
  <c r="I40"/>
  <c r="H40"/>
  <c r="L40" s="1"/>
  <c r="K39"/>
  <c r="J39"/>
  <c r="I39"/>
  <c r="H39"/>
  <c r="L39" s="1"/>
  <c r="K38"/>
  <c r="J38"/>
  <c r="I38"/>
  <c r="H38"/>
  <c r="L38" s="1"/>
  <c r="K37"/>
  <c r="J37"/>
  <c r="I37"/>
  <c r="H37"/>
  <c r="L37" s="1"/>
  <c r="K36"/>
  <c r="J36"/>
  <c r="I36"/>
  <c r="H36"/>
  <c r="L36" s="1"/>
  <c r="K35"/>
  <c r="J35"/>
  <c r="I35"/>
  <c r="H35"/>
  <c r="L35" s="1"/>
  <c r="K34"/>
  <c r="J34"/>
  <c r="I34"/>
  <c r="H34"/>
  <c r="L34" s="1"/>
  <c r="K33"/>
  <c r="J33"/>
  <c r="I33"/>
  <c r="H33"/>
  <c r="L33" s="1"/>
  <c r="K32"/>
  <c r="J32"/>
  <c r="I32"/>
  <c r="H32"/>
  <c r="L32" s="1"/>
  <c r="K31"/>
  <c r="J31"/>
  <c r="I31"/>
  <c r="H31"/>
  <c r="L31" s="1"/>
  <c r="K30"/>
  <c r="J30"/>
  <c r="I30"/>
  <c r="H30"/>
  <c r="L30" s="1"/>
  <c r="K29"/>
  <c r="J29"/>
  <c r="I29"/>
  <c r="H29"/>
  <c r="L29" s="1"/>
  <c r="K28"/>
  <c r="J28"/>
  <c r="I28"/>
  <c r="H28"/>
  <c r="L28" s="1"/>
  <c r="K27"/>
  <c r="J27"/>
  <c r="I27"/>
  <c r="H27"/>
  <c r="L27" s="1"/>
  <c r="K26"/>
  <c r="J26"/>
  <c r="I26"/>
  <c r="H26"/>
  <c r="L26" s="1"/>
  <c r="K25"/>
  <c r="J25"/>
  <c r="I25"/>
  <c r="H25"/>
  <c r="L25" s="1"/>
  <c r="K24"/>
  <c r="J24"/>
  <c r="I24"/>
  <c r="H24"/>
  <c r="L24" s="1"/>
  <c r="K23"/>
  <c r="J23"/>
  <c r="I23"/>
  <c r="H23"/>
  <c r="L23" s="1"/>
  <c r="K22"/>
  <c r="J22"/>
  <c r="I22"/>
  <c r="H22"/>
  <c r="L22" s="1"/>
  <c r="K21"/>
  <c r="J21"/>
  <c r="I21"/>
  <c r="H21"/>
  <c r="L21" s="1"/>
  <c r="K20"/>
  <c r="J20"/>
  <c r="I20"/>
  <c r="H20"/>
  <c r="L20" s="1"/>
  <c r="K19"/>
  <c r="J19"/>
  <c r="I19"/>
  <c r="H19"/>
  <c r="L19" s="1"/>
  <c r="K18"/>
  <c r="J18"/>
  <c r="I18"/>
  <c r="H18"/>
  <c r="L18" s="1"/>
  <c r="K17"/>
  <c r="J17"/>
  <c r="I17"/>
  <c r="H17"/>
  <c r="L17" s="1"/>
  <c r="K16"/>
  <c r="J16"/>
  <c r="I16"/>
  <c r="H16"/>
  <c r="L16" s="1"/>
  <c r="K15"/>
  <c r="J15"/>
  <c r="I15"/>
  <c r="H15"/>
  <c r="L15" s="1"/>
  <c r="K14"/>
  <c r="J14"/>
  <c r="I14"/>
  <c r="H14"/>
  <c r="L14" s="1"/>
  <c r="K13"/>
  <c r="J13"/>
  <c r="I13"/>
  <c r="H13"/>
  <c r="L13" s="1"/>
  <c r="K12"/>
  <c r="J12"/>
  <c r="I12"/>
  <c r="H12"/>
  <c r="L12" s="1"/>
  <c r="K11"/>
  <c r="J11"/>
  <c r="I11"/>
  <c r="H11"/>
  <c r="L11" s="1"/>
  <c r="K10"/>
  <c r="J10"/>
  <c r="I10"/>
  <c r="H10"/>
  <c r="L10" s="1"/>
  <c r="K9"/>
  <c r="J9"/>
  <c r="I9"/>
  <c r="H9"/>
  <c r="L9" s="1"/>
  <c r="K8"/>
  <c r="J8"/>
  <c r="I8"/>
  <c r="H8"/>
  <c r="L8" s="1"/>
  <c r="K7"/>
  <c r="J7"/>
  <c r="I7"/>
  <c r="H7"/>
  <c r="L7" s="1"/>
  <c r="K6"/>
  <c r="J6"/>
  <c r="I6"/>
  <c r="H6"/>
  <c r="L6" s="1"/>
  <c r="K5"/>
  <c r="J5"/>
  <c r="I5"/>
  <c r="H5"/>
  <c r="L5" s="1"/>
  <c r="K4"/>
  <c r="K46" s="1"/>
  <c r="J4"/>
  <c r="J46" s="1"/>
  <c r="I4"/>
  <c r="I46" s="1"/>
  <c r="H4"/>
  <c r="H46" s="1"/>
  <c r="K45" i="4"/>
  <c r="J45"/>
  <c r="I45"/>
  <c r="H45"/>
  <c r="L45" s="1"/>
  <c r="K44"/>
  <c r="J44"/>
  <c r="I44"/>
  <c r="H44"/>
  <c r="L44" s="1"/>
  <c r="K43"/>
  <c r="J43"/>
  <c r="I43"/>
  <c r="H43"/>
  <c r="L43" s="1"/>
  <c r="K42"/>
  <c r="J42"/>
  <c r="I42"/>
  <c r="H42"/>
  <c r="L42" s="1"/>
  <c r="K41"/>
  <c r="J41"/>
  <c r="I41"/>
  <c r="H41"/>
  <c r="L41" s="1"/>
  <c r="K40"/>
  <c r="J40"/>
  <c r="I40"/>
  <c r="H40"/>
  <c r="L40" s="1"/>
  <c r="K39"/>
  <c r="J39"/>
  <c r="I39"/>
  <c r="H39"/>
  <c r="L39" s="1"/>
  <c r="K38"/>
  <c r="J38"/>
  <c r="I38"/>
  <c r="H38"/>
  <c r="L38" s="1"/>
  <c r="K37"/>
  <c r="J37"/>
  <c r="I37"/>
  <c r="H37"/>
  <c r="L37" s="1"/>
  <c r="K36"/>
  <c r="J36"/>
  <c r="I36"/>
  <c r="H36"/>
  <c r="L36" s="1"/>
  <c r="K35"/>
  <c r="J35"/>
  <c r="I35"/>
  <c r="H35"/>
  <c r="L35" s="1"/>
  <c r="K34"/>
  <c r="J34"/>
  <c r="I34"/>
  <c r="H34"/>
  <c r="L34" s="1"/>
  <c r="K33"/>
  <c r="J33"/>
  <c r="I33"/>
  <c r="H33"/>
  <c r="L33" s="1"/>
  <c r="K32"/>
  <c r="J32"/>
  <c r="I32"/>
  <c r="H32"/>
  <c r="L32" s="1"/>
  <c r="K31"/>
  <c r="J31"/>
  <c r="I31"/>
  <c r="H31"/>
  <c r="L31" s="1"/>
  <c r="K30"/>
  <c r="J30"/>
  <c r="I30"/>
  <c r="H30"/>
  <c r="L30" s="1"/>
  <c r="K29"/>
  <c r="J29"/>
  <c r="I29"/>
  <c r="H29"/>
  <c r="L29" s="1"/>
  <c r="K28"/>
  <c r="J28"/>
  <c r="I28"/>
  <c r="H28"/>
  <c r="L28" s="1"/>
  <c r="K27"/>
  <c r="J27"/>
  <c r="I27"/>
  <c r="H27"/>
  <c r="L27" s="1"/>
  <c r="K26"/>
  <c r="J26"/>
  <c r="I26"/>
  <c r="H26"/>
  <c r="L26" s="1"/>
  <c r="K25"/>
  <c r="J25"/>
  <c r="I25"/>
  <c r="H25"/>
  <c r="L25" s="1"/>
  <c r="K24"/>
  <c r="J24"/>
  <c r="I24"/>
  <c r="H24"/>
  <c r="L24" s="1"/>
  <c r="K23"/>
  <c r="J23"/>
  <c r="I23"/>
  <c r="H23"/>
  <c r="L23" s="1"/>
  <c r="K22"/>
  <c r="J22"/>
  <c r="I22"/>
  <c r="H22"/>
  <c r="L22" s="1"/>
  <c r="K21"/>
  <c r="J21"/>
  <c r="I21"/>
  <c r="H21"/>
  <c r="L21" s="1"/>
  <c r="K20"/>
  <c r="J20"/>
  <c r="I20"/>
  <c r="H20"/>
  <c r="L20" s="1"/>
  <c r="K19"/>
  <c r="J19"/>
  <c r="I19"/>
  <c r="H19"/>
  <c r="L19" s="1"/>
  <c r="K18"/>
  <c r="J18"/>
  <c r="I18"/>
  <c r="H18"/>
  <c r="L18" s="1"/>
  <c r="K17"/>
  <c r="J17"/>
  <c r="I17"/>
  <c r="H17"/>
  <c r="L17" s="1"/>
  <c r="K16"/>
  <c r="J16"/>
  <c r="I16"/>
  <c r="H16"/>
  <c r="L16" s="1"/>
  <c r="K15"/>
  <c r="J15"/>
  <c r="I15"/>
  <c r="H15"/>
  <c r="L15" s="1"/>
  <c r="K14"/>
  <c r="J14"/>
  <c r="I14"/>
  <c r="H14"/>
  <c r="L14" s="1"/>
  <c r="K13"/>
  <c r="J13"/>
  <c r="I13"/>
  <c r="H13"/>
  <c r="L13" s="1"/>
  <c r="K12"/>
  <c r="J12"/>
  <c r="I12"/>
  <c r="H12"/>
  <c r="L12" s="1"/>
  <c r="K11"/>
  <c r="J11"/>
  <c r="I11"/>
  <c r="H11"/>
  <c r="L11" s="1"/>
  <c r="K10"/>
  <c r="J10"/>
  <c r="I10"/>
  <c r="H10"/>
  <c r="L10" s="1"/>
  <c r="K9"/>
  <c r="J9"/>
  <c r="I9"/>
  <c r="H9"/>
  <c r="L9" s="1"/>
  <c r="K8"/>
  <c r="J8"/>
  <c r="I8"/>
  <c r="H8"/>
  <c r="L8" s="1"/>
  <c r="K7"/>
  <c r="J7"/>
  <c r="I7"/>
  <c r="H7"/>
  <c r="L7" s="1"/>
  <c r="K6"/>
  <c r="J6"/>
  <c r="I6"/>
  <c r="H6"/>
  <c r="L6" s="1"/>
  <c r="K5"/>
  <c r="J5"/>
  <c r="I5"/>
  <c r="H5"/>
  <c r="L5" s="1"/>
  <c r="K4"/>
  <c r="K46" s="1"/>
  <c r="J4"/>
  <c r="J46" s="1"/>
  <c r="I4"/>
  <c r="I46" s="1"/>
  <c r="H4"/>
  <c r="H46" s="1"/>
  <c r="K45" i="3"/>
  <c r="J45"/>
  <c r="I45"/>
  <c r="H45"/>
  <c r="L45" s="1"/>
  <c r="K44"/>
  <c r="J44"/>
  <c r="I44"/>
  <c r="H44"/>
  <c r="L44" s="1"/>
  <c r="K43"/>
  <c r="J43"/>
  <c r="I43"/>
  <c r="H43"/>
  <c r="L43" s="1"/>
  <c r="K42"/>
  <c r="J42"/>
  <c r="I42"/>
  <c r="H42"/>
  <c r="L42" s="1"/>
  <c r="K41"/>
  <c r="J41"/>
  <c r="I41"/>
  <c r="H41"/>
  <c r="L41" s="1"/>
  <c r="K40"/>
  <c r="J40"/>
  <c r="I40"/>
  <c r="H40"/>
  <c r="L40" s="1"/>
  <c r="K39"/>
  <c r="J39"/>
  <c r="I39"/>
  <c r="H39"/>
  <c r="L39" s="1"/>
  <c r="K38"/>
  <c r="J38"/>
  <c r="I38"/>
  <c r="H38"/>
  <c r="L38" s="1"/>
  <c r="K37"/>
  <c r="J37"/>
  <c r="I37"/>
  <c r="H37"/>
  <c r="L37" s="1"/>
  <c r="K36"/>
  <c r="J36"/>
  <c r="I36"/>
  <c r="H36"/>
  <c r="L36" s="1"/>
  <c r="K35"/>
  <c r="J35"/>
  <c r="I35"/>
  <c r="H35"/>
  <c r="L35" s="1"/>
  <c r="K34"/>
  <c r="J34"/>
  <c r="I34"/>
  <c r="H34"/>
  <c r="L34" s="1"/>
  <c r="K33"/>
  <c r="J33"/>
  <c r="I33"/>
  <c r="H33"/>
  <c r="L33" s="1"/>
  <c r="K32"/>
  <c r="J32"/>
  <c r="I32"/>
  <c r="H32"/>
  <c r="L32" s="1"/>
  <c r="K31"/>
  <c r="J31"/>
  <c r="I31"/>
  <c r="H31"/>
  <c r="L31" s="1"/>
  <c r="K30"/>
  <c r="J30"/>
  <c r="I30"/>
  <c r="H30"/>
  <c r="L30" s="1"/>
  <c r="K29"/>
  <c r="J29"/>
  <c r="I29"/>
  <c r="H29"/>
  <c r="L29" s="1"/>
  <c r="K28"/>
  <c r="J28"/>
  <c r="I28"/>
  <c r="H28"/>
  <c r="L28" s="1"/>
  <c r="K27"/>
  <c r="J27"/>
  <c r="I27"/>
  <c r="H27"/>
  <c r="L27" s="1"/>
  <c r="K26"/>
  <c r="J26"/>
  <c r="I26"/>
  <c r="H26"/>
  <c r="L26" s="1"/>
  <c r="K25"/>
  <c r="J25"/>
  <c r="I25"/>
  <c r="H25"/>
  <c r="L25" s="1"/>
  <c r="K24"/>
  <c r="J24"/>
  <c r="I24"/>
  <c r="H24"/>
  <c r="L24" s="1"/>
  <c r="K23"/>
  <c r="J23"/>
  <c r="I23"/>
  <c r="H23"/>
  <c r="L23" s="1"/>
  <c r="K22"/>
  <c r="J22"/>
  <c r="I22"/>
  <c r="H22"/>
  <c r="L22" s="1"/>
  <c r="K21"/>
  <c r="J21"/>
  <c r="I21"/>
  <c r="H21"/>
  <c r="L21" s="1"/>
  <c r="K20"/>
  <c r="J20"/>
  <c r="I20"/>
  <c r="H20"/>
  <c r="L20" s="1"/>
  <c r="K19"/>
  <c r="J19"/>
  <c r="I19"/>
  <c r="H19"/>
  <c r="L19" s="1"/>
  <c r="K18"/>
  <c r="J18"/>
  <c r="I18"/>
  <c r="H18"/>
  <c r="L18" s="1"/>
  <c r="K17"/>
  <c r="J17"/>
  <c r="I17"/>
  <c r="H17"/>
  <c r="L17" s="1"/>
  <c r="K16"/>
  <c r="J16"/>
  <c r="I16"/>
  <c r="H16"/>
  <c r="L16" s="1"/>
  <c r="K15"/>
  <c r="J15"/>
  <c r="I15"/>
  <c r="H15"/>
  <c r="L15" s="1"/>
  <c r="K14"/>
  <c r="J14"/>
  <c r="I14"/>
  <c r="H14"/>
  <c r="L14" s="1"/>
  <c r="K13"/>
  <c r="J13"/>
  <c r="I13"/>
  <c r="H13"/>
  <c r="L13" s="1"/>
  <c r="K12"/>
  <c r="J12"/>
  <c r="I12"/>
  <c r="H12"/>
  <c r="L12" s="1"/>
  <c r="K11"/>
  <c r="J11"/>
  <c r="I11"/>
  <c r="H11"/>
  <c r="L11" s="1"/>
  <c r="K10"/>
  <c r="J10"/>
  <c r="I10"/>
  <c r="H10"/>
  <c r="L10" s="1"/>
  <c r="K9"/>
  <c r="J9"/>
  <c r="I9"/>
  <c r="H9"/>
  <c r="L9" s="1"/>
  <c r="K8"/>
  <c r="J8"/>
  <c r="I8"/>
  <c r="H8"/>
  <c r="L8" s="1"/>
  <c r="K7"/>
  <c r="J7"/>
  <c r="I7"/>
  <c r="H7"/>
  <c r="L7" s="1"/>
  <c r="K6"/>
  <c r="J6"/>
  <c r="I6"/>
  <c r="H6"/>
  <c r="L6" s="1"/>
  <c r="K5"/>
  <c r="J5"/>
  <c r="I5"/>
  <c r="H5"/>
  <c r="L5" s="1"/>
  <c r="K4"/>
  <c r="K46" s="1"/>
  <c r="J4"/>
  <c r="J46" s="1"/>
  <c r="I4"/>
  <c r="I46" s="1"/>
  <c r="H4"/>
  <c r="H46" s="1"/>
  <c r="K44" i="2"/>
  <c r="J44"/>
  <c r="I44"/>
  <c r="H44"/>
  <c r="L44" s="1"/>
  <c r="K43"/>
  <c r="J43"/>
  <c r="I43"/>
  <c r="H43"/>
  <c r="L43" s="1"/>
  <c r="K42"/>
  <c r="J42"/>
  <c r="I42"/>
  <c r="H42"/>
  <c r="L42" s="1"/>
  <c r="K41"/>
  <c r="J41"/>
  <c r="I41"/>
  <c r="H41"/>
  <c r="L41" s="1"/>
  <c r="K40"/>
  <c r="J40"/>
  <c r="I40"/>
  <c r="H40"/>
  <c r="L40" s="1"/>
  <c r="K39"/>
  <c r="J39"/>
  <c r="I39"/>
  <c r="H39"/>
  <c r="L39" s="1"/>
  <c r="K38"/>
  <c r="J38"/>
  <c r="I38"/>
  <c r="H38"/>
  <c r="L38" s="1"/>
  <c r="K37"/>
  <c r="J37"/>
  <c r="I37"/>
  <c r="H37"/>
  <c r="L37" s="1"/>
  <c r="K36"/>
  <c r="J36"/>
  <c r="I36"/>
  <c r="H36"/>
  <c r="L36" s="1"/>
  <c r="K35"/>
  <c r="J35"/>
  <c r="I35"/>
  <c r="H35"/>
  <c r="L35" s="1"/>
  <c r="K34"/>
  <c r="J34"/>
  <c r="I34"/>
  <c r="H34"/>
  <c r="L34" s="1"/>
  <c r="K33"/>
  <c r="J33"/>
  <c r="I33"/>
  <c r="H33"/>
  <c r="L33" s="1"/>
  <c r="K32"/>
  <c r="J32"/>
  <c r="I32"/>
  <c r="H32"/>
  <c r="L32" s="1"/>
  <c r="K31"/>
  <c r="J31"/>
  <c r="I31"/>
  <c r="H31"/>
  <c r="L31" s="1"/>
  <c r="K30"/>
  <c r="J30"/>
  <c r="I30"/>
  <c r="H30"/>
  <c r="L30" s="1"/>
  <c r="K29"/>
  <c r="J29"/>
  <c r="I29"/>
  <c r="H29"/>
  <c r="L29" s="1"/>
  <c r="K28"/>
  <c r="J28"/>
  <c r="I28"/>
  <c r="H28"/>
  <c r="L28" s="1"/>
  <c r="K27"/>
  <c r="J27"/>
  <c r="I27"/>
  <c r="H27"/>
  <c r="L27" s="1"/>
  <c r="K26"/>
  <c r="J26"/>
  <c r="I26"/>
  <c r="H26"/>
  <c r="L26" s="1"/>
  <c r="K25"/>
  <c r="J25"/>
  <c r="I25"/>
  <c r="H25"/>
  <c r="L25" s="1"/>
  <c r="K24"/>
  <c r="J24"/>
  <c r="I24"/>
  <c r="H24"/>
  <c r="L24" s="1"/>
  <c r="K23"/>
  <c r="J23"/>
  <c r="I23"/>
  <c r="H23"/>
  <c r="L23" s="1"/>
  <c r="K22"/>
  <c r="J22"/>
  <c r="I22"/>
  <c r="H22"/>
  <c r="L22" s="1"/>
  <c r="K21"/>
  <c r="J21"/>
  <c r="I21"/>
  <c r="H21"/>
  <c r="L21" s="1"/>
  <c r="K20"/>
  <c r="J20"/>
  <c r="I20"/>
  <c r="H20"/>
  <c r="L20" s="1"/>
  <c r="K19"/>
  <c r="J19"/>
  <c r="I19"/>
  <c r="H19"/>
  <c r="L19" s="1"/>
  <c r="K18"/>
  <c r="J18"/>
  <c r="I18"/>
  <c r="H18"/>
  <c r="L18" s="1"/>
  <c r="K17"/>
  <c r="J17"/>
  <c r="I17"/>
  <c r="H17"/>
  <c r="L17" s="1"/>
  <c r="K16"/>
  <c r="J16"/>
  <c r="I16"/>
  <c r="H16"/>
  <c r="L16" s="1"/>
  <c r="K15"/>
  <c r="J15"/>
  <c r="I15"/>
  <c r="H15"/>
  <c r="L15" s="1"/>
  <c r="K14"/>
  <c r="J14"/>
  <c r="I14"/>
  <c r="H14"/>
  <c r="L14" s="1"/>
  <c r="K13"/>
  <c r="J13"/>
  <c r="I13"/>
  <c r="H13"/>
  <c r="L13" s="1"/>
  <c r="K12"/>
  <c r="J12"/>
  <c r="I12"/>
  <c r="H12"/>
  <c r="L12" s="1"/>
  <c r="K11"/>
  <c r="J11"/>
  <c r="I11"/>
  <c r="H11"/>
  <c r="L11" s="1"/>
  <c r="K10"/>
  <c r="J10"/>
  <c r="I10"/>
  <c r="H10"/>
  <c r="L10" s="1"/>
  <c r="K9"/>
  <c r="J9"/>
  <c r="I9"/>
  <c r="H9"/>
  <c r="L9" s="1"/>
  <c r="K8"/>
  <c r="J8"/>
  <c r="I8"/>
  <c r="H8"/>
  <c r="L8" s="1"/>
  <c r="K7"/>
  <c r="J7"/>
  <c r="I7"/>
  <c r="H7"/>
  <c r="L7" s="1"/>
  <c r="K6"/>
  <c r="J6"/>
  <c r="I6"/>
  <c r="H6"/>
  <c r="L6" s="1"/>
  <c r="K5"/>
  <c r="J5"/>
  <c r="I5"/>
  <c r="H5"/>
  <c r="L5" s="1"/>
  <c r="K4"/>
  <c r="K45" s="1"/>
  <c r="J4"/>
  <c r="J45" s="1"/>
  <c r="I4"/>
  <c r="I45" s="1"/>
  <c r="H4"/>
  <c r="L4" s="1"/>
  <c r="L45" s="1"/>
  <c r="K13" i="1"/>
  <c r="J13"/>
  <c r="I13"/>
  <c r="H13"/>
  <c r="L4" i="8" l="1"/>
  <c r="L46" s="1"/>
  <c r="H39" i="7"/>
  <c r="L4" i="6"/>
  <c r="L46" s="1"/>
  <c r="L4" i="5"/>
  <c r="L46" s="1"/>
  <c r="L4" i="4"/>
  <c r="L46" s="1"/>
  <c r="L4" i="3"/>
  <c r="L46" s="1"/>
  <c r="H45" i="2"/>
  <c r="L13" i="1"/>
  <c r="K40"/>
  <c r="J40"/>
  <c r="I40"/>
  <c r="H40"/>
  <c r="K39"/>
  <c r="J39"/>
  <c r="I39"/>
  <c r="H39"/>
  <c r="K38"/>
  <c r="J38"/>
  <c r="I38"/>
  <c r="H38"/>
  <c r="K37"/>
  <c r="J37"/>
  <c r="I37"/>
  <c r="H37"/>
  <c r="K36"/>
  <c r="J36"/>
  <c r="I36"/>
  <c r="H36"/>
  <c r="K35"/>
  <c r="J35"/>
  <c r="I35"/>
  <c r="H35"/>
  <c r="K34"/>
  <c r="J34"/>
  <c r="I34"/>
  <c r="H34"/>
  <c r="K33"/>
  <c r="J33"/>
  <c r="I33"/>
  <c r="H33"/>
  <c r="K32"/>
  <c r="J32"/>
  <c r="I32"/>
  <c r="H32"/>
  <c r="K31"/>
  <c r="J31"/>
  <c r="I31"/>
  <c r="H31"/>
  <c r="K30"/>
  <c r="J30"/>
  <c r="I30"/>
  <c r="H30"/>
  <c r="L30" l="1"/>
  <c r="L31"/>
  <c r="L32"/>
  <c r="L33"/>
  <c r="L34"/>
  <c r="L35"/>
  <c r="L36"/>
  <c r="L37"/>
  <c r="L38"/>
  <c r="L39"/>
  <c r="L40"/>
  <c r="I23" l="1"/>
  <c r="K29"/>
  <c r="J29"/>
  <c r="I29"/>
  <c r="H29"/>
  <c r="K28"/>
  <c r="J28"/>
  <c r="I28"/>
  <c r="H28"/>
  <c r="K27"/>
  <c r="J27"/>
  <c r="I27"/>
  <c r="H27"/>
  <c r="K26"/>
  <c r="J26"/>
  <c r="I26"/>
  <c r="H26"/>
  <c r="K25"/>
  <c r="J25"/>
  <c r="I25"/>
  <c r="H25"/>
  <c r="K24"/>
  <c r="J24"/>
  <c r="I24"/>
  <c r="H24"/>
  <c r="K23"/>
  <c r="J23"/>
  <c r="H23"/>
  <c r="L23" l="1"/>
  <c r="L24"/>
  <c r="L25"/>
  <c r="L26"/>
  <c r="L27"/>
  <c r="L28"/>
  <c r="L29"/>
  <c r="K22" l="1"/>
  <c r="J22"/>
  <c r="I22"/>
  <c r="H22"/>
  <c r="K21"/>
  <c r="J21"/>
  <c r="I21"/>
  <c r="H21"/>
  <c r="K20"/>
  <c r="J20"/>
  <c r="I20"/>
  <c r="H20"/>
  <c r="K19"/>
  <c r="J19"/>
  <c r="I19"/>
  <c r="H19"/>
  <c r="K18"/>
  <c r="J18"/>
  <c r="I18"/>
  <c r="H18"/>
  <c r="L18" l="1"/>
  <c r="L19"/>
  <c r="L20"/>
  <c r="L21"/>
  <c r="L22"/>
  <c r="K17"/>
  <c r="J17"/>
  <c r="I17"/>
  <c r="H17"/>
  <c r="K16"/>
  <c r="J16"/>
  <c r="I16"/>
  <c r="H16"/>
  <c r="K15"/>
  <c r="J15"/>
  <c r="I15"/>
  <c r="H15"/>
  <c r="L15" l="1"/>
  <c r="L16"/>
  <c r="L17"/>
  <c r="K14" l="1"/>
  <c r="J14"/>
  <c r="I14"/>
  <c r="H14"/>
  <c r="K12"/>
  <c r="J12"/>
  <c r="I12"/>
  <c r="H12"/>
  <c r="K11"/>
  <c r="J11"/>
  <c r="I11"/>
  <c r="H11"/>
  <c r="L11" l="1"/>
  <c r="L12"/>
  <c r="L14"/>
  <c r="K10"/>
  <c r="J10"/>
  <c r="I10"/>
  <c r="H10"/>
  <c r="K9"/>
  <c r="J9"/>
  <c r="I9"/>
  <c r="H9"/>
  <c r="K7"/>
  <c r="J7"/>
  <c r="I7"/>
  <c r="H7"/>
  <c r="K6"/>
  <c r="J6"/>
  <c r="I6"/>
  <c r="H6"/>
  <c r="L9" l="1"/>
  <c r="L10"/>
  <c r="L6"/>
  <c r="L7"/>
  <c r="K8" l="1"/>
  <c r="J8"/>
  <c r="I8"/>
  <c r="H8"/>
  <c r="K5"/>
  <c r="J5"/>
  <c r="I5"/>
  <c r="H5"/>
  <c r="K4"/>
  <c r="K41" s="1"/>
  <c r="J4"/>
  <c r="J41" s="1"/>
  <c r="I4"/>
  <c r="I41" s="1"/>
  <c r="H4"/>
  <c r="H41" s="1"/>
  <c r="L5" l="1"/>
  <c r="L8"/>
  <c r="L4"/>
  <c r="L41" l="1"/>
</calcChain>
</file>

<file path=xl/sharedStrings.xml><?xml version="1.0" encoding="utf-8"?>
<sst xmlns="http://schemas.openxmlformats.org/spreadsheetml/2006/main" count="1075" uniqueCount="136">
  <si>
    <t/>
  </si>
  <si>
    <t>№ ПП</t>
  </si>
  <si>
    <t>КОД</t>
  </si>
  <si>
    <t>НАЗВАНИЕ РАБОТЫ</t>
  </si>
  <si>
    <t>ИЗМЕРИТЕЛЬ</t>
  </si>
  <si>
    <t>КОЛ-ВО ЕД. ИЗМ.</t>
  </si>
  <si>
    <t>ПЕРИОДИЧ- НОСТЬ В ГОД</t>
  </si>
  <si>
    <t>ТРУД. РЕСУРСЫ, РУБ.</t>
  </si>
  <si>
    <t>МАТЕР. РЕСУРСЫ, РУБ.</t>
  </si>
  <si>
    <t>МАШ. МЕХ., РУБ.</t>
  </si>
  <si>
    <t>НАКЛ. РАСХОДЫ, РУБ.</t>
  </si>
  <si>
    <t>СТОИМОСТЬ, РУБ.</t>
  </si>
  <si>
    <t>2.3.1.1</t>
  </si>
  <si>
    <t>Смена горизонтальных участков трубопроводов канализации из полиэтиленовых труб высокой плотности диаметром 50 мм</t>
  </si>
  <si>
    <t>100 м трубопроводов</t>
  </si>
  <si>
    <t>2.3.1.2</t>
  </si>
  <si>
    <t>Смена горизонтальных участков трубопроводов канализации из полиэтиленовых труб высокой плотности диаметром 100 мм</t>
  </si>
  <si>
    <t>100  раструбов</t>
  </si>
  <si>
    <t>2.3.3.3.3</t>
  </si>
  <si>
    <t>Подчеканка раструбов  чугунных  канализационных труб диаметром до 100 мм</t>
  </si>
  <si>
    <t>2.3.4</t>
  </si>
  <si>
    <t>Устранение засоров внутренних канализационных трубопроводов</t>
  </si>
  <si>
    <t>100 м трубы</t>
  </si>
  <si>
    <t>2.3.5</t>
  </si>
  <si>
    <t>Заделка стыков соединений стояков внутренних водостоков</t>
  </si>
  <si>
    <t>100 соединений</t>
  </si>
  <si>
    <t>ИТОГО:</t>
  </si>
  <si>
    <t>1.8.1.3.1</t>
  </si>
  <si>
    <t>Постановка заплат на покрытия из мягкой кровли</t>
  </si>
  <si>
    <t>100 м2 покрытий</t>
  </si>
  <si>
    <t>1.8.2.2.1</t>
  </si>
  <si>
    <t>Смена мягкой кровли в два слоя отдельными местами</t>
  </si>
  <si>
    <t>100 м2 сменяемого покрытия</t>
  </si>
  <si>
    <t>1.8.2.2.4</t>
  </si>
  <si>
    <t>Покрытие старых рулонных кровель готовым составом (мастикой)</t>
  </si>
  <si>
    <t>1.9.1.16</t>
  </si>
  <si>
    <t>Смена пружины</t>
  </si>
  <si>
    <t>1 пружина</t>
  </si>
  <si>
    <t>1.9.1.17</t>
  </si>
  <si>
    <t>Смена ручки дверной</t>
  </si>
  <si>
    <t>1 ручка</t>
  </si>
  <si>
    <t>1.9.1.19</t>
  </si>
  <si>
    <t>Смена замков накладных</t>
  </si>
  <si>
    <t>100 замков</t>
  </si>
  <si>
    <t>2.5.4</t>
  </si>
  <si>
    <t>Ремонт, замена  внутридомовых электрических сетей</t>
  </si>
  <si>
    <t>1000 пог.м.</t>
  </si>
  <si>
    <t>2.5.7.1</t>
  </si>
  <si>
    <t>Замена выключателя</t>
  </si>
  <si>
    <t>1 выключатель</t>
  </si>
  <si>
    <t>2.5.7.2</t>
  </si>
  <si>
    <t>Замена светильника с лампами накаливания или энергосберегающими лампами</t>
  </si>
  <si>
    <t>1 светильник</t>
  </si>
  <si>
    <t>2.5.7.4</t>
  </si>
  <si>
    <t>Ремонт светильника с лампами накаливания или энергосберегающими лампами</t>
  </si>
  <si>
    <t>2.5.7.6</t>
  </si>
  <si>
    <t>Замена лампы накаливания на энергосберегательную</t>
  </si>
  <si>
    <t>1 лампа</t>
  </si>
  <si>
    <t>2.2.1.1.1</t>
  </si>
  <si>
    <t>Смена отдельных участков трубопроводов  водоснабжения из стальных водогазопроводных оцинкованных труб диаметром  15 мм</t>
  </si>
  <si>
    <t>2.2.1.1.2</t>
  </si>
  <si>
    <t>Смена отдельных участков трубопроводов   водоснабжения из стальных водогазопроводных оцинкованных труб диаметром  20 мм</t>
  </si>
  <si>
    <t>2.2.1.7.1</t>
  </si>
  <si>
    <t>Смена сгонов у трубопроводов диаметром до 20 мм</t>
  </si>
  <si>
    <t>100 сгонов</t>
  </si>
  <si>
    <t>2.2.1.8.4</t>
  </si>
  <si>
    <t>Уплотнение сгонов с применением ленты ФУМ (без разборки сгонов) диаметром до 50 мм</t>
  </si>
  <si>
    <t>1 сгон</t>
  </si>
  <si>
    <t>2.2.3.8.2</t>
  </si>
  <si>
    <t>Гидравлическое испытание теплообменника (водонагревателя)  поверхностью нагрева  до 75 кв.м</t>
  </si>
  <si>
    <t>1 теплообменник (бойлер)</t>
  </si>
  <si>
    <t>2.2.4</t>
  </si>
  <si>
    <t>Теплоизоляция сетей  горячего  водоснабжения</t>
  </si>
  <si>
    <t>100 м2 утепленного участка</t>
  </si>
  <si>
    <t>2.2.6.1</t>
  </si>
  <si>
    <t>Смена вентилей и клапанов обратных муфтовых диаметром до 20 мм</t>
  </si>
  <si>
    <t>100 шт.</t>
  </si>
  <si>
    <t>2.1.2.1.1</t>
  </si>
  <si>
    <t>Смена отдельных участков трубопроводов из стальных водогазопроводных неоцинкованных труб диаметром 15 мм</t>
  </si>
  <si>
    <t>100 м трубопровода</t>
  </si>
  <si>
    <t>2.1.2.1.2</t>
  </si>
  <si>
    <t>Смена отдельных участков трубопроводов из стальных водогазопроводных неоцинкованных труб диаметром 20 мм</t>
  </si>
  <si>
    <t>2.1.3.5.1</t>
  </si>
  <si>
    <t>Прочистка и промывка отопительных приборов радиаторов весом до 80 кг внутри здания</t>
  </si>
  <si>
    <t>100 приборов</t>
  </si>
  <si>
    <t>2.1.3.5.4</t>
  </si>
  <si>
    <t>Прочистка и промывка отопительных приборов ребристых труб внутри здания</t>
  </si>
  <si>
    <t>2.1.4.1</t>
  </si>
  <si>
    <t>Текущий ремонт водоводяных подогревателей</t>
  </si>
  <si>
    <t>1 подогреватель</t>
  </si>
  <si>
    <t>2.1.5.3.4</t>
  </si>
  <si>
    <t>Изоляция трубопроводов изделиями вспененного полиэтилена толщиной 8 мм</t>
  </si>
  <si>
    <t>10 м трубопровода</t>
  </si>
  <si>
    <t>2.1.8.3.1</t>
  </si>
  <si>
    <t>Ремонт насосов малой мощности, диаметр патрубка 25 мм</t>
  </si>
  <si>
    <t>100 насосов</t>
  </si>
  <si>
    <t>2.1.8.8.1</t>
  </si>
  <si>
    <t>Смена вентиля диаметром до 25 мм</t>
  </si>
  <si>
    <t>100 вентилей</t>
  </si>
  <si>
    <t>2.1.8.8.2</t>
  </si>
  <si>
    <t>Смена вентиля диаметром 25 мм</t>
  </si>
  <si>
    <t>2.1.8.9.1</t>
  </si>
  <si>
    <t>Установка кранов для спуска воздуха из системы, диаметр крана 15-20 мм</t>
  </si>
  <si>
    <t>100 кранов</t>
  </si>
  <si>
    <t>2.1.9.4.1</t>
  </si>
  <si>
    <t>Установка запорных вентилей на радиаторах, диаметром 10-15 мм</t>
  </si>
  <si>
    <t>1 прибор</t>
  </si>
  <si>
    <t>1.8.10.1</t>
  </si>
  <si>
    <t>Смена покрытия  парапетов или брандмауэров без обделки боковых сторон при ширине покрытия до 1 м</t>
  </si>
  <si>
    <t>100 м</t>
  </si>
  <si>
    <t>1.9.1.10</t>
  </si>
  <si>
    <t>Смена дверных петель при одной сменяемой петле в полотне</t>
  </si>
  <si>
    <t>10 петель</t>
  </si>
  <si>
    <t>1.9.1.15</t>
  </si>
  <si>
    <t>Укрепление наличников дверных проемов</t>
  </si>
  <si>
    <t>1 п.м. наличника</t>
  </si>
  <si>
    <t>2.2.6.2</t>
  </si>
  <si>
    <t>Смена вентилей и клапанов обратных муфтовых диаметром до 32  мм</t>
  </si>
  <si>
    <t>2.1.8.8.3</t>
  </si>
  <si>
    <t>Смена вентиля диаметром свыше 26 до 50  мм</t>
  </si>
  <si>
    <t>1.9.1.20</t>
  </si>
  <si>
    <t>Смена замков врезных</t>
  </si>
  <si>
    <t>2.1.8.9.2</t>
  </si>
  <si>
    <t>Установка кранов для спуска воздуха из системы, диаметр крана 21-25 мм</t>
  </si>
  <si>
    <t>2.3.1.3</t>
  </si>
  <si>
    <t>Смена вертикальных участков трубопроводов канализации из полиэтиленовых труб высокой плотности диаметром 50 мм</t>
  </si>
  <si>
    <t>2.3.1.4</t>
  </si>
  <si>
    <t>Смена вертикальных участков трубопроводов канализации из полиэтиленовых труб высокой плотности диаметром 100 мм</t>
  </si>
  <si>
    <t>План работ на 2024г.-Шевченко, 3а</t>
  </si>
  <si>
    <t>План работ на 2024г.-Шевченко, 4</t>
  </si>
  <si>
    <t>План работ на 2024г.-Шевченко, 1а</t>
  </si>
  <si>
    <t>План работ на 2024г.-Гончарова,10</t>
  </si>
  <si>
    <t>План работ на 2024г.-Базарная,4</t>
  </si>
  <si>
    <t>План работ на 2024г.-Свободы,6</t>
  </si>
  <si>
    <t>План работ на 2024г.-Титова,20а</t>
  </si>
  <si>
    <t>План работ на 2024г.-Шевченко, 2</t>
  </si>
</sst>
</file>

<file path=xl/styles.xml><?xml version="1.0" encoding="utf-8"?>
<styleSheet xmlns="http://schemas.openxmlformats.org/spreadsheetml/2006/main">
  <numFmts count="1">
    <numFmt numFmtId="164" formatCode="#\ ###\ ##0.00"/>
  </numFmts>
  <fonts count="10">
    <font>
      <sz val="11"/>
      <color theme="1"/>
      <name val="Calibri"/>
      <family val="2"/>
      <scheme val="minor"/>
    </font>
    <font>
      <sz val="9"/>
      <name val="Calibri"/>
    </font>
    <font>
      <sz val="10"/>
      <name val="Calibri"/>
    </font>
    <font>
      <sz val="12"/>
      <name val="Calibri"/>
    </font>
    <font>
      <b/>
      <sz val="9"/>
      <color rgb="FFFFFFFF"/>
      <name val="Calibri"/>
    </font>
    <font>
      <b/>
      <sz val="18"/>
      <color rgb="FF000099"/>
      <name val="Calibri"/>
    </font>
    <font>
      <i/>
      <sz val="11"/>
      <name val="Calibri"/>
    </font>
    <font>
      <b/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9F7ED"/>
      </patternFill>
    </fill>
    <fill>
      <patternFill patternType="solid">
        <fgColor rgb="FFF5F2E0"/>
      </patternFill>
    </fill>
    <fill>
      <patternFill patternType="solid">
        <f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top" wrapText="1" indent="1"/>
    </xf>
    <xf numFmtId="49" fontId="2" fillId="0" borderId="0" xfId="0" applyNumberFormat="1" applyFont="1" applyAlignment="1">
      <alignment horizontal="left" vertical="top" wrapText="1" inden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 indent="1"/>
    </xf>
    <xf numFmtId="164" fontId="2" fillId="0" borderId="0" xfId="0" applyNumberFormat="1" applyFont="1" applyAlignment="1">
      <alignment horizontal="right" vertical="top" indent="1"/>
    </xf>
    <xf numFmtId="0" fontId="4" fillId="0" borderId="0" xfId="0" applyFont="1" applyAlignment="1">
      <alignment horizontal="center" vertical="center" wrapText="1" indent="1"/>
    </xf>
    <xf numFmtId="0" fontId="1" fillId="0" borderId="3" xfId="0" applyFont="1" applyBorder="1" applyAlignment="1">
      <alignment horizontal="center" vertical="top" wrapText="1" indent="1"/>
    </xf>
    <xf numFmtId="49" fontId="2" fillId="0" borderId="4" xfId="0" applyNumberFormat="1" applyFont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top" wrapText="1"/>
    </xf>
    <xf numFmtId="0" fontId="3" fillId="2" borderId="4" xfId="0" applyFont="1" applyFill="1" applyBorder="1" applyAlignment="1">
      <alignment horizontal="right" vertical="top" indent="1"/>
    </xf>
    <xf numFmtId="0" fontId="3" fillId="3" borderId="4" xfId="0" applyFont="1" applyFill="1" applyBorder="1" applyAlignment="1">
      <alignment horizontal="right" vertical="top" indent="1"/>
    </xf>
    <xf numFmtId="164" fontId="2" fillId="0" borderId="4" xfId="0" applyNumberFormat="1" applyFont="1" applyBorder="1" applyAlignment="1">
      <alignment horizontal="right" vertical="top" indent="1"/>
    </xf>
    <xf numFmtId="164" fontId="2" fillId="4" borderId="4" xfId="0" applyNumberFormat="1" applyFont="1" applyFill="1" applyBorder="1" applyAlignment="1">
      <alignment horizontal="right" vertical="top" indent="1"/>
    </xf>
    <xf numFmtId="0" fontId="1" fillId="0" borderId="5" xfId="0" applyFont="1" applyBorder="1" applyAlignment="1">
      <alignment horizontal="center" vertical="top" wrapText="1" indent="1"/>
    </xf>
    <xf numFmtId="49" fontId="2" fillId="0" borderId="6" xfId="0" applyNumberFormat="1" applyFont="1" applyBorder="1" applyAlignment="1">
      <alignment horizontal="left" vertical="top" wrapText="1" indent="1"/>
    </xf>
    <xf numFmtId="0" fontId="2" fillId="0" borderId="6" xfId="0" applyFont="1" applyBorder="1" applyAlignment="1">
      <alignment horizontal="left" vertical="top" wrapText="1"/>
    </xf>
    <xf numFmtId="0" fontId="3" fillId="2" borderId="6" xfId="0" applyFont="1" applyFill="1" applyBorder="1" applyAlignment="1">
      <alignment horizontal="right" vertical="top" indent="1"/>
    </xf>
    <xf numFmtId="0" fontId="3" fillId="3" borderId="6" xfId="0" applyFont="1" applyFill="1" applyBorder="1" applyAlignment="1">
      <alignment horizontal="right" vertical="top" indent="1"/>
    </xf>
    <xf numFmtId="164" fontId="2" fillId="0" borderId="6" xfId="0" applyNumberFormat="1" applyFont="1" applyBorder="1" applyAlignment="1">
      <alignment horizontal="right" vertical="top" indent="1"/>
    </xf>
    <xf numFmtId="164" fontId="2" fillId="4" borderId="6" xfId="0" applyNumberFormat="1" applyFont="1" applyFill="1" applyBorder="1" applyAlignment="1">
      <alignment horizontal="right" vertical="top" indent="1"/>
    </xf>
    <xf numFmtId="0" fontId="7" fillId="5" borderId="4" xfId="0" applyFont="1" applyFill="1" applyBorder="1" applyAlignment="1">
      <alignment horizontal="center" vertical="center" wrapText="1" indent="1"/>
    </xf>
    <xf numFmtId="49" fontId="7" fillId="5" borderId="4" xfId="0" applyNumberFormat="1" applyFont="1" applyFill="1" applyBorder="1" applyAlignment="1">
      <alignment horizontal="center" vertical="center" wrapText="1" indent="1"/>
    </xf>
    <xf numFmtId="164" fontId="7" fillId="5" borderId="4" xfId="0" applyNumberFormat="1" applyFont="1" applyFill="1" applyBorder="1" applyAlignment="1">
      <alignment horizontal="center" vertical="center" wrapText="1" indent="1"/>
    </xf>
    <xf numFmtId="164" fontId="9" fillId="6" borderId="4" xfId="0" applyNumberFormat="1" applyFont="1" applyFill="1" applyBorder="1" applyAlignment="1">
      <alignment horizontal="right" vertical="center" wrapText="1" indent="1"/>
    </xf>
    <xf numFmtId="164" fontId="6" fillId="0" borderId="0" xfId="0" applyNumberFormat="1" applyFont="1" applyBorder="1" applyAlignment="1">
      <alignment horizontal="right" indent="1"/>
    </xf>
    <xf numFmtId="164" fontId="6" fillId="0" borderId="2" xfId="0" applyNumberFormat="1" applyFont="1" applyBorder="1" applyAlignment="1">
      <alignment horizontal="right" indent="1"/>
    </xf>
    <xf numFmtId="164" fontId="6" fillId="0" borderId="8" xfId="0" applyNumberFormat="1" applyFont="1" applyBorder="1" applyAlignment="1">
      <alignment horizontal="right" indent="1"/>
    </xf>
    <xf numFmtId="0" fontId="8" fillId="6" borderId="4" xfId="0" applyFont="1" applyFill="1" applyBorder="1" applyAlignment="1">
      <alignment horizontal="right" vertical="center" wrapText="1" indent="1"/>
    </xf>
    <xf numFmtId="0" fontId="5" fillId="0" borderId="7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1"/>
  <sheetViews>
    <sheetView zoomScale="91" zoomScaleNormal="91" workbookViewId="0">
      <pane ySplit="1" topLeftCell="A29" activePane="bottomLeft" state="frozen"/>
      <selection pane="bottomLeft" activeCell="D8" sqref="D8"/>
    </sheetView>
  </sheetViews>
  <sheetFormatPr defaultRowHeight="15.75"/>
  <cols>
    <col min="1" max="1" width="3" customWidth="1"/>
    <col min="2" max="2" width="6" style="1" customWidth="1"/>
    <col min="3" max="3" width="13" style="2" customWidth="1"/>
    <col min="4" max="4" width="50" style="3" customWidth="1"/>
    <col min="5" max="5" width="20" style="3" customWidth="1"/>
    <col min="6" max="7" width="12" style="4" customWidth="1"/>
    <col min="8" max="9" width="14" style="5" customWidth="1"/>
    <col min="10" max="10" width="13" style="5" customWidth="1"/>
    <col min="11" max="11" width="14" style="5" customWidth="1"/>
    <col min="12" max="12" width="14.85546875" style="5" customWidth="1"/>
  </cols>
  <sheetData>
    <row r="1" spans="1:12" s="6" customFormat="1" ht="39.950000000000003" customHeight="1">
      <c r="A1" s="6" t="s">
        <v>0</v>
      </c>
      <c r="B1" s="21" t="s">
        <v>1</v>
      </c>
      <c r="C1" s="22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3" t="s">
        <v>7</v>
      </c>
      <c r="I1" s="23" t="s">
        <v>8</v>
      </c>
      <c r="J1" s="23" t="s">
        <v>9</v>
      </c>
      <c r="K1" s="23" t="s">
        <v>10</v>
      </c>
      <c r="L1" s="23" t="s">
        <v>11</v>
      </c>
    </row>
    <row r="2" spans="1:12" thickBot="1">
      <c r="A2" t="s">
        <v>0</v>
      </c>
      <c r="B2" s="29" t="s">
        <v>129</v>
      </c>
      <c r="C2" s="29"/>
      <c r="D2" s="29"/>
      <c r="E2" s="29"/>
      <c r="F2" s="29"/>
      <c r="G2" s="29"/>
      <c r="H2" s="29"/>
      <c r="I2" s="29"/>
      <c r="J2" s="29"/>
      <c r="K2" s="29"/>
      <c r="L2" s="25"/>
    </row>
    <row r="3" spans="1:12" ht="16.5" thickTop="1" thickBot="1">
      <c r="B3" s="30"/>
      <c r="C3" s="30"/>
      <c r="D3" s="30"/>
      <c r="E3" s="30"/>
      <c r="F3" s="30"/>
      <c r="G3" s="30"/>
      <c r="H3" s="30"/>
      <c r="I3" s="30"/>
      <c r="J3" s="30"/>
      <c r="K3" s="30"/>
      <c r="L3" s="26"/>
    </row>
    <row r="4" spans="1:12" ht="39" thickTop="1">
      <c r="B4" s="7">
        <v>1</v>
      </c>
      <c r="C4" s="8" t="s">
        <v>12</v>
      </c>
      <c r="D4" s="9" t="s">
        <v>13</v>
      </c>
      <c r="E4" s="9" t="s">
        <v>14</v>
      </c>
      <c r="F4" s="10">
        <v>0.04</v>
      </c>
      <c r="G4" s="11">
        <v>2</v>
      </c>
      <c r="H4" s="12">
        <f>F4 * G4 * 15639.52</f>
        <v>1251.1616000000001</v>
      </c>
      <c r="I4" s="12">
        <f>F4 * G4 * 21705.165506</f>
        <v>1736.4132404800002</v>
      </c>
      <c r="J4" s="12">
        <f t="shared" ref="J4:J5" si="0">F4 * G4 * 0</f>
        <v>0</v>
      </c>
      <c r="K4" s="12">
        <f>F4 * G4 * 4879.53024</f>
        <v>390.36241920000003</v>
      </c>
      <c r="L4" s="13">
        <f t="shared" ref="L4:L40" si="1">SUM(H4:K4)</f>
        <v>3377.9372596800008</v>
      </c>
    </row>
    <row r="5" spans="1:12" ht="38.25">
      <c r="B5" s="7">
        <v>2</v>
      </c>
      <c r="C5" s="8" t="s">
        <v>15</v>
      </c>
      <c r="D5" s="9" t="s">
        <v>16</v>
      </c>
      <c r="E5" s="9" t="s">
        <v>14</v>
      </c>
      <c r="F5" s="10">
        <v>0.02</v>
      </c>
      <c r="G5" s="11">
        <v>2</v>
      </c>
      <c r="H5" s="12">
        <f>F5 * G5 * 16576.82</f>
        <v>663.07280000000003</v>
      </c>
      <c r="I5" s="12">
        <f>F5 * G5 * 34762.843598</f>
        <v>1390.51374392</v>
      </c>
      <c r="J5" s="12">
        <f t="shared" si="0"/>
        <v>0</v>
      </c>
      <c r="K5" s="12">
        <f>F5 * G5 * 5171.96784</f>
        <v>206.87871360000003</v>
      </c>
      <c r="L5" s="13">
        <f t="shared" si="1"/>
        <v>2260.4652575200003</v>
      </c>
    </row>
    <row r="6" spans="1:12">
      <c r="B6" s="7">
        <v>3</v>
      </c>
      <c r="C6" s="8" t="s">
        <v>27</v>
      </c>
      <c r="D6" s="9" t="s">
        <v>28</v>
      </c>
      <c r="E6" s="9" t="s">
        <v>29</v>
      </c>
      <c r="F6" s="10">
        <v>0.02</v>
      </c>
      <c r="G6" s="11">
        <v>1</v>
      </c>
      <c r="H6" s="12">
        <f>F6 * G6 * 3910.157507</f>
        <v>78.203150140000005</v>
      </c>
      <c r="I6" s="12">
        <f>F6 * G6 * 41845.140276</f>
        <v>836.90280552000002</v>
      </c>
      <c r="J6" s="12">
        <f>F6 * G6 * 204.802785</f>
        <v>4.0960557</v>
      </c>
      <c r="K6" s="12">
        <f>F6 * G6 * 1235.142821</f>
        <v>24.70285642</v>
      </c>
      <c r="L6" s="13">
        <f t="shared" si="1"/>
        <v>943.90486778000002</v>
      </c>
    </row>
    <row r="7" spans="1:12" ht="25.5">
      <c r="B7" s="7">
        <v>4</v>
      </c>
      <c r="C7" s="8" t="s">
        <v>30</v>
      </c>
      <c r="D7" s="9" t="s">
        <v>31</v>
      </c>
      <c r="E7" s="9" t="s">
        <v>32</v>
      </c>
      <c r="F7" s="10">
        <v>0.02</v>
      </c>
      <c r="G7" s="11">
        <v>1</v>
      </c>
      <c r="H7" s="12">
        <f>F7 * G7 * 7529.896158</f>
        <v>150.59792315999999</v>
      </c>
      <c r="I7" s="12">
        <f>F7 * G7 * 81375.866004</f>
        <v>1627.51732008</v>
      </c>
      <c r="J7" s="12">
        <f>F7 * G7 * 391.708823</f>
        <v>7.8341764600000001</v>
      </c>
      <c r="K7" s="12">
        <f>F7 * G7 * 2376.640223</f>
        <v>47.532804460000001</v>
      </c>
      <c r="L7" s="13">
        <f t="shared" si="1"/>
        <v>1833.48222416</v>
      </c>
    </row>
    <row r="8" spans="1:12" ht="29.25" customHeight="1">
      <c r="B8" s="7">
        <v>5</v>
      </c>
      <c r="C8" s="8" t="s">
        <v>18</v>
      </c>
      <c r="D8" s="9" t="s">
        <v>19</v>
      </c>
      <c r="E8" s="9" t="s">
        <v>17</v>
      </c>
      <c r="F8" s="10">
        <v>0.03</v>
      </c>
      <c r="G8" s="11">
        <v>3</v>
      </c>
      <c r="H8" s="12">
        <f>F8 * G8 * 13711.78</f>
        <v>1234.0602000000001</v>
      </c>
      <c r="I8" s="12">
        <f>F8 * G8 * 2871.662897</f>
        <v>258.44966073000001</v>
      </c>
      <c r="J8" s="12">
        <f>F8 * G8 * 0</f>
        <v>0</v>
      </c>
      <c r="K8" s="12">
        <f>F8 * G8 * 4278.07536</f>
        <v>385.02678239999995</v>
      </c>
      <c r="L8" s="13">
        <f t="shared" si="1"/>
        <v>1877.5366431300001</v>
      </c>
    </row>
    <row r="9" spans="1:12" ht="29.25" customHeight="1">
      <c r="B9" s="7">
        <v>6</v>
      </c>
      <c r="C9" s="8" t="s">
        <v>20</v>
      </c>
      <c r="D9" s="9" t="s">
        <v>21</v>
      </c>
      <c r="E9" s="9" t="s">
        <v>22</v>
      </c>
      <c r="F9" s="10">
        <v>0.02</v>
      </c>
      <c r="G9" s="11">
        <v>2</v>
      </c>
      <c r="H9" s="12">
        <f>F9 * G9 * 2387.741</f>
        <v>95.509640000000005</v>
      </c>
      <c r="I9" s="12">
        <f>F9 * G9 * 756.000504</f>
        <v>30.24002016</v>
      </c>
      <c r="J9" s="12">
        <f t="shared" ref="J9:J10" si="2">F9 * G9 * 0</f>
        <v>0</v>
      </c>
      <c r="K9" s="12">
        <f>F9 * G9 * 744.975192</f>
        <v>29.799007679999999</v>
      </c>
      <c r="L9" s="13">
        <f t="shared" si="1"/>
        <v>155.54866784000001</v>
      </c>
    </row>
    <row r="10" spans="1:12" ht="29.25" customHeight="1">
      <c r="B10" s="7">
        <v>7</v>
      </c>
      <c r="C10" s="8" t="s">
        <v>23</v>
      </c>
      <c r="D10" s="9" t="s">
        <v>24</v>
      </c>
      <c r="E10" s="9" t="s">
        <v>25</v>
      </c>
      <c r="F10" s="10">
        <v>0.02</v>
      </c>
      <c r="G10" s="11">
        <v>2</v>
      </c>
      <c r="H10" s="12">
        <f>F10 * G10 * 7328.71</f>
        <v>293.14839999999998</v>
      </c>
      <c r="I10" s="12">
        <f>F10 * G10 * 110433.355</f>
        <v>4417.3342000000002</v>
      </c>
      <c r="J10" s="12">
        <f t="shared" si="2"/>
        <v>0</v>
      </c>
      <c r="K10" s="12">
        <f>F10 * G10 * 2286.55752</f>
        <v>91.462300799999994</v>
      </c>
      <c r="L10" s="13">
        <f t="shared" si="1"/>
        <v>4801.9449008000001</v>
      </c>
    </row>
    <row r="11" spans="1:12" ht="29.25" customHeight="1">
      <c r="B11" s="7">
        <v>8</v>
      </c>
      <c r="C11" s="8" t="s">
        <v>27</v>
      </c>
      <c r="D11" s="9" t="s">
        <v>28</v>
      </c>
      <c r="E11" s="9" t="s">
        <v>29</v>
      </c>
      <c r="F11" s="10">
        <v>0.02</v>
      </c>
      <c r="G11" s="11">
        <v>2</v>
      </c>
      <c r="H11" s="12">
        <f>F11 * G11 * 3910.157507</f>
        <v>156.40630028000001</v>
      </c>
      <c r="I11" s="12">
        <f>F11 * G11 * 41845.140276</f>
        <v>1673.80561104</v>
      </c>
      <c r="J11" s="12">
        <f>F11 * G11 * 204.802785</f>
        <v>8.1921113999999999</v>
      </c>
      <c r="K11" s="12">
        <f>F11 * G11 * 1235.142821</f>
        <v>49.40571284</v>
      </c>
      <c r="L11" s="13">
        <f t="shared" si="1"/>
        <v>1887.80973556</v>
      </c>
    </row>
    <row r="12" spans="1:12" ht="29.25" customHeight="1">
      <c r="B12" s="7">
        <v>9</v>
      </c>
      <c r="C12" s="8" t="s">
        <v>30</v>
      </c>
      <c r="D12" s="9" t="s">
        <v>31</v>
      </c>
      <c r="E12" s="9" t="s">
        <v>32</v>
      </c>
      <c r="F12" s="10">
        <v>0.01</v>
      </c>
      <c r="G12" s="11">
        <v>1</v>
      </c>
      <c r="H12" s="12">
        <f>F12 * G12 * 7529.896158</f>
        <v>75.298961579999997</v>
      </c>
      <c r="I12" s="12">
        <f>F12 * G12 * 81375.866004</f>
        <v>813.75866004</v>
      </c>
      <c r="J12" s="12">
        <f>F12 * G12 * 391.708823</f>
        <v>3.9170882300000001</v>
      </c>
      <c r="K12" s="12">
        <f>F12 * G12 * 2376.640223</f>
        <v>23.766402230000001</v>
      </c>
      <c r="L12" s="13">
        <f t="shared" si="1"/>
        <v>916.74111207999999</v>
      </c>
    </row>
    <row r="13" spans="1:12" ht="29.25" customHeight="1">
      <c r="B13" s="7">
        <v>25</v>
      </c>
      <c r="C13" s="8" t="s">
        <v>107</v>
      </c>
      <c r="D13" s="9" t="s">
        <v>108</v>
      </c>
      <c r="E13" s="9" t="s">
        <v>109</v>
      </c>
      <c r="F13" s="10">
        <v>0.2</v>
      </c>
      <c r="G13" s="11">
        <v>1</v>
      </c>
      <c r="H13" s="12">
        <f>F13 * G13 * 14346.021412</f>
        <v>2869.2042824</v>
      </c>
      <c r="I13" s="12">
        <f>F13 * G13 * 48661.911659</f>
        <v>9732.3823317999995</v>
      </c>
      <c r="J13" s="12">
        <f>F13 * G13 * 0</f>
        <v>0</v>
      </c>
      <c r="K13" s="12">
        <f>F13 * G13 * 4475.95868</f>
        <v>895.19173599999999</v>
      </c>
      <c r="L13" s="13">
        <f t="shared" si="1"/>
        <v>13496.7783502</v>
      </c>
    </row>
    <row r="14" spans="1:12" ht="29.25" customHeight="1">
      <c r="B14" s="7">
        <v>10</v>
      </c>
      <c r="C14" s="8" t="s">
        <v>33</v>
      </c>
      <c r="D14" s="9" t="s">
        <v>34</v>
      </c>
      <c r="E14" s="9" t="s">
        <v>29</v>
      </c>
      <c r="F14" s="10">
        <v>0.02</v>
      </c>
      <c r="G14" s="11">
        <v>2</v>
      </c>
      <c r="H14" s="12">
        <f>F14 * G14 * 2289.63494</f>
        <v>91.585397599999993</v>
      </c>
      <c r="I14" s="12">
        <f>F14 * G14 * 8888.9847</f>
        <v>355.55938800000007</v>
      </c>
      <c r="J14" s="12">
        <f>F14 * G14 * 225.070527</f>
        <v>9.0028210800000004</v>
      </c>
      <c r="K14" s="12">
        <f>F14 * G14 * 737.632408</f>
        <v>29.505296320000003</v>
      </c>
      <c r="L14" s="13">
        <f t="shared" si="1"/>
        <v>485.65290300000009</v>
      </c>
    </row>
    <row r="15" spans="1:12" ht="29.25" customHeight="1">
      <c r="B15" s="7">
        <v>13</v>
      </c>
      <c r="C15" s="8" t="s">
        <v>35</v>
      </c>
      <c r="D15" s="9" t="s">
        <v>36</v>
      </c>
      <c r="E15" s="9" t="s">
        <v>37</v>
      </c>
      <c r="F15" s="10">
        <v>2</v>
      </c>
      <c r="G15" s="11">
        <v>2</v>
      </c>
      <c r="H15" s="12">
        <f>F15 * G15 * 125.3537</f>
        <v>501.41480000000001</v>
      </c>
      <c r="I15" s="12">
        <f>F15 * G15 * 68.385752</f>
        <v>273.54300799999999</v>
      </c>
      <c r="J15" s="12">
        <f t="shared" ref="J15:J17" si="3">F15 * G15 * 0</f>
        <v>0</v>
      </c>
      <c r="K15" s="12">
        <f>F15 * G15 * 39.110354</f>
        <v>156.441416</v>
      </c>
      <c r="L15" s="13">
        <f t="shared" si="1"/>
        <v>931.399224</v>
      </c>
    </row>
    <row r="16" spans="1:12" ht="29.25" customHeight="1">
      <c r="B16" s="7">
        <v>14</v>
      </c>
      <c r="C16" s="8" t="s">
        <v>38</v>
      </c>
      <c r="D16" s="9" t="s">
        <v>39</v>
      </c>
      <c r="E16" s="9" t="s">
        <v>40</v>
      </c>
      <c r="F16" s="10">
        <v>1</v>
      </c>
      <c r="G16" s="11">
        <v>1</v>
      </c>
      <c r="H16" s="12">
        <f>F16 * G16 * 35.4615</f>
        <v>35.461500000000001</v>
      </c>
      <c r="I16" s="12">
        <f>F16 * G16 * 158.431504</f>
        <v>158.43150399999999</v>
      </c>
      <c r="J16" s="12">
        <f t="shared" si="3"/>
        <v>0</v>
      </c>
      <c r="K16" s="12">
        <f>F16 * G16 * 11.063988</f>
        <v>11.063988</v>
      </c>
      <c r="L16" s="13">
        <f t="shared" si="1"/>
        <v>204.95699199999999</v>
      </c>
    </row>
    <row r="17" spans="2:12" ht="29.25" customHeight="1">
      <c r="B17" s="7">
        <v>15</v>
      </c>
      <c r="C17" s="8" t="s">
        <v>41</v>
      </c>
      <c r="D17" s="9" t="s">
        <v>42</v>
      </c>
      <c r="E17" s="9" t="s">
        <v>43</v>
      </c>
      <c r="F17" s="10">
        <v>0.01</v>
      </c>
      <c r="G17" s="11">
        <v>1</v>
      </c>
      <c r="H17" s="12">
        <f>F17 * G17 * 25248.588</f>
        <v>252.48588000000001</v>
      </c>
      <c r="I17" s="12">
        <f>F17 * G17 * 65571.509155</f>
        <v>655.71509155000012</v>
      </c>
      <c r="J17" s="12">
        <f t="shared" si="3"/>
        <v>0</v>
      </c>
      <c r="K17" s="12">
        <f>F17 * G17 * 7877.559456</f>
        <v>78.775594560000002</v>
      </c>
      <c r="L17" s="13">
        <f t="shared" si="1"/>
        <v>986.97656611000002</v>
      </c>
    </row>
    <row r="18" spans="2:12" ht="29.25" customHeight="1">
      <c r="B18" s="7">
        <v>17</v>
      </c>
      <c r="C18" s="8" t="s">
        <v>44</v>
      </c>
      <c r="D18" s="9" t="s">
        <v>45</v>
      </c>
      <c r="E18" s="9" t="s">
        <v>46</v>
      </c>
      <c r="F18" s="10">
        <v>6.0000000000000001E-3</v>
      </c>
      <c r="G18" s="11">
        <v>3</v>
      </c>
      <c r="H18" s="12">
        <f>F18 * G18 * 47282</f>
        <v>851.07600000000014</v>
      </c>
      <c r="I18" s="12">
        <f>F18 * G18 * 76576.12775</f>
        <v>1378.3702995000001</v>
      </c>
      <c r="J18" s="12">
        <f>F18 * G18 * 0</f>
        <v>0</v>
      </c>
      <c r="K18" s="12">
        <f>F18 * G18 * 14751.984</f>
        <v>265.53571200000005</v>
      </c>
      <c r="L18" s="13">
        <f t="shared" si="1"/>
        <v>2494.9820115000002</v>
      </c>
    </row>
    <row r="19" spans="2:12" ht="29.25" customHeight="1">
      <c r="B19" s="7">
        <v>18</v>
      </c>
      <c r="C19" s="8" t="s">
        <v>47</v>
      </c>
      <c r="D19" s="9" t="s">
        <v>48</v>
      </c>
      <c r="E19" s="9" t="s">
        <v>49</v>
      </c>
      <c r="F19" s="10">
        <v>2</v>
      </c>
      <c r="G19" s="11">
        <v>2</v>
      </c>
      <c r="H19" s="12">
        <f>F19 * G19 * 44.9179</f>
        <v>179.67160000000001</v>
      </c>
      <c r="I19" s="12">
        <f>F19 * G19 * 44.1864</f>
        <v>176.7456</v>
      </c>
      <c r="J19" s="12">
        <f t="shared" ref="J19:J40" si="4">F19 * G19 * 0</f>
        <v>0</v>
      </c>
      <c r="K19" s="12">
        <f>F19 * G19 * 14.014385</f>
        <v>56.057540000000003</v>
      </c>
      <c r="L19" s="13">
        <f t="shared" si="1"/>
        <v>412.47474</v>
      </c>
    </row>
    <row r="20" spans="2:12" ht="29.25" customHeight="1">
      <c r="B20" s="7">
        <v>19</v>
      </c>
      <c r="C20" s="8" t="s">
        <v>50</v>
      </c>
      <c r="D20" s="9" t="s">
        <v>51</v>
      </c>
      <c r="E20" s="9" t="s">
        <v>52</v>
      </c>
      <c r="F20" s="10">
        <v>4</v>
      </c>
      <c r="G20" s="11">
        <v>4</v>
      </c>
      <c r="H20" s="12">
        <f>F20 * G20 * 237.81681</f>
        <v>3805.0689600000001</v>
      </c>
      <c r="I20" s="12">
        <f>F20 * G20 * 479.105858</f>
        <v>7665.6937280000002</v>
      </c>
      <c r="J20" s="12">
        <f t="shared" si="4"/>
        <v>0</v>
      </c>
      <c r="K20" s="12">
        <f>F20 * G20 * 74.198845</f>
        <v>1187.1815200000001</v>
      </c>
      <c r="L20" s="13">
        <f t="shared" si="1"/>
        <v>12657.944208000001</v>
      </c>
    </row>
    <row r="21" spans="2:12" ht="29.25" customHeight="1">
      <c r="B21" s="7">
        <v>20</v>
      </c>
      <c r="C21" s="8" t="s">
        <v>53</v>
      </c>
      <c r="D21" s="9" t="s">
        <v>54</v>
      </c>
      <c r="E21" s="9" t="s">
        <v>52</v>
      </c>
      <c r="F21" s="10">
        <v>4</v>
      </c>
      <c r="G21" s="11">
        <v>4</v>
      </c>
      <c r="H21" s="12">
        <f>F21 * G21 * 37.8256</f>
        <v>605.20960000000002</v>
      </c>
      <c r="I21" s="12">
        <f>F21 * G21 * 43.9812</f>
        <v>703.69920000000002</v>
      </c>
      <c r="J21" s="12">
        <f t="shared" si="4"/>
        <v>0</v>
      </c>
      <c r="K21" s="12">
        <f>F21 * G21 * 11.801587</f>
        <v>188.82539199999999</v>
      </c>
      <c r="L21" s="13">
        <f t="shared" si="1"/>
        <v>1497.7341920000001</v>
      </c>
    </row>
    <row r="22" spans="2:12" ht="29.25" customHeight="1">
      <c r="B22" s="7">
        <v>21</v>
      </c>
      <c r="C22" s="8" t="s">
        <v>55</v>
      </c>
      <c r="D22" s="9" t="s">
        <v>56</v>
      </c>
      <c r="E22" s="9" t="s">
        <v>57</v>
      </c>
      <c r="F22" s="10">
        <v>4</v>
      </c>
      <c r="G22" s="11">
        <v>4</v>
      </c>
      <c r="H22" s="12">
        <f>F22 * G22 * 22.45895</f>
        <v>359.34320000000002</v>
      </c>
      <c r="I22" s="12">
        <f>F22 * G22 * 141.0294</f>
        <v>2256.4704000000002</v>
      </c>
      <c r="J22" s="12">
        <f t="shared" si="4"/>
        <v>0</v>
      </c>
      <c r="K22" s="12">
        <f>F22 * G22 * 7.007193</f>
        <v>112.115088</v>
      </c>
      <c r="L22" s="13">
        <f t="shared" si="1"/>
        <v>2727.9286880000004</v>
      </c>
    </row>
    <row r="23" spans="2:12" ht="36.75" customHeight="1">
      <c r="B23" s="7">
        <v>22</v>
      </c>
      <c r="C23" s="8" t="s">
        <v>58</v>
      </c>
      <c r="D23" s="9" t="s">
        <v>59</v>
      </c>
      <c r="E23" s="9" t="s">
        <v>14</v>
      </c>
      <c r="F23" s="10">
        <v>0.02</v>
      </c>
      <c r="G23" s="11">
        <v>2</v>
      </c>
      <c r="H23" s="12">
        <f>F23 * G23 * 17618.977</f>
        <v>704.75907999999993</v>
      </c>
      <c r="I23" s="12">
        <f>F23 * G23 * 18074.952694</f>
        <v>722.99810776000004</v>
      </c>
      <c r="J23" s="12">
        <f t="shared" si="4"/>
        <v>0</v>
      </c>
      <c r="K23" s="12">
        <f>F23 * G23 * 5497.120824</f>
        <v>219.88483295999998</v>
      </c>
      <c r="L23" s="13">
        <f t="shared" si="1"/>
        <v>1647.6420207199999</v>
      </c>
    </row>
    <row r="24" spans="2:12" ht="35.25" customHeight="1">
      <c r="B24" s="7">
        <v>23</v>
      </c>
      <c r="C24" s="8" t="s">
        <v>60</v>
      </c>
      <c r="D24" s="9" t="s">
        <v>61</v>
      </c>
      <c r="E24" s="9" t="s">
        <v>14</v>
      </c>
      <c r="F24" s="10">
        <v>0.04</v>
      </c>
      <c r="G24" s="11">
        <v>4</v>
      </c>
      <c r="H24" s="12">
        <f>F24 * G24 * 19453.3435</f>
        <v>3112.53496</v>
      </c>
      <c r="I24" s="12">
        <f>F24 * G24 * 25367.354534</f>
        <v>4058.7767254399996</v>
      </c>
      <c r="J24" s="12">
        <f t="shared" si="4"/>
        <v>0</v>
      </c>
      <c r="K24" s="12">
        <f>F24 * G24 * 6069.443172</f>
        <v>971.11090752000007</v>
      </c>
      <c r="L24" s="13">
        <f t="shared" si="1"/>
        <v>8142.4225929599997</v>
      </c>
    </row>
    <row r="25" spans="2:12" ht="29.25" customHeight="1">
      <c r="B25" s="7">
        <v>24</v>
      </c>
      <c r="C25" s="8" t="s">
        <v>62</v>
      </c>
      <c r="D25" s="9" t="s">
        <v>63</v>
      </c>
      <c r="E25" s="9" t="s">
        <v>64</v>
      </c>
      <c r="F25" s="10">
        <v>0.04</v>
      </c>
      <c r="G25" s="11">
        <v>4</v>
      </c>
      <c r="H25" s="12">
        <f>F25 * G25 * 6713.504</f>
        <v>1074.1606400000001</v>
      </c>
      <c r="I25" s="12">
        <f>F25 * G25 * 6955.135292</f>
        <v>1112.82164672</v>
      </c>
      <c r="J25" s="12">
        <f t="shared" si="4"/>
        <v>0</v>
      </c>
      <c r="K25" s="12">
        <f>F25 * G25 * 2094.613248</f>
        <v>335.13811968000005</v>
      </c>
      <c r="L25" s="13">
        <f t="shared" si="1"/>
        <v>2522.1204064000003</v>
      </c>
    </row>
    <row r="26" spans="2:12" ht="29.25" customHeight="1">
      <c r="B26" s="7">
        <v>25</v>
      </c>
      <c r="C26" s="8" t="s">
        <v>65</v>
      </c>
      <c r="D26" s="9" t="s">
        <v>66</v>
      </c>
      <c r="E26" s="9" t="s">
        <v>67</v>
      </c>
      <c r="F26" s="10">
        <v>2</v>
      </c>
      <c r="G26" s="11">
        <v>2</v>
      </c>
      <c r="H26" s="12">
        <f>F26 * G26 * 30.7333</f>
        <v>122.9332</v>
      </c>
      <c r="I26" s="12">
        <f>F26 * G26 * 6.05454</f>
        <v>24.218160000000001</v>
      </c>
      <c r="J26" s="12">
        <f t="shared" si="4"/>
        <v>0</v>
      </c>
      <c r="K26" s="12">
        <f>F26 * G26 * 9.58879</f>
        <v>38.355159999999998</v>
      </c>
      <c r="L26" s="13">
        <f t="shared" si="1"/>
        <v>185.50652000000002</v>
      </c>
    </row>
    <row r="27" spans="2:12" ht="29.25" customHeight="1">
      <c r="B27" s="7">
        <v>26</v>
      </c>
      <c r="C27" s="8" t="s">
        <v>68</v>
      </c>
      <c r="D27" s="9" t="s">
        <v>69</v>
      </c>
      <c r="E27" s="9" t="s">
        <v>70</v>
      </c>
      <c r="F27" s="10">
        <v>1</v>
      </c>
      <c r="G27" s="11">
        <v>1</v>
      </c>
      <c r="H27" s="12">
        <f>F27 * G27 * 4122.7215</f>
        <v>4122.7214999999997</v>
      </c>
      <c r="I27" s="12">
        <f>F27 * G27 * 0</f>
        <v>0</v>
      </c>
      <c r="J27" s="12">
        <f t="shared" si="4"/>
        <v>0</v>
      </c>
      <c r="K27" s="12">
        <f>F27 * G27 * 1286.289108</f>
        <v>1286.2891079999999</v>
      </c>
      <c r="L27" s="13">
        <f t="shared" si="1"/>
        <v>5409.0106079999996</v>
      </c>
    </row>
    <row r="28" spans="2:12" ht="29.25" customHeight="1">
      <c r="B28" s="7">
        <v>27</v>
      </c>
      <c r="C28" s="8" t="s">
        <v>71</v>
      </c>
      <c r="D28" s="9" t="s">
        <v>72</v>
      </c>
      <c r="E28" s="9" t="s">
        <v>73</v>
      </c>
      <c r="F28" s="10">
        <v>0.02</v>
      </c>
      <c r="G28" s="11">
        <v>2</v>
      </c>
      <c r="H28" s="12">
        <f>F28 * G28 * 17320.196583</f>
        <v>692.80786332000002</v>
      </c>
      <c r="I28" s="12">
        <f>F28 * G28 * 323569.609729</f>
        <v>12942.784389160001</v>
      </c>
      <c r="J28" s="12">
        <f t="shared" si="4"/>
        <v>0</v>
      </c>
      <c r="K28" s="12">
        <f>F28 * G28 * 5403.90133399999</f>
        <v>216.15605335999962</v>
      </c>
      <c r="L28" s="13">
        <f t="shared" si="1"/>
        <v>13851.748305840001</v>
      </c>
    </row>
    <row r="29" spans="2:12" ht="29.25" customHeight="1">
      <c r="B29" s="7">
        <v>28</v>
      </c>
      <c r="C29" s="8" t="s">
        <v>74</v>
      </c>
      <c r="D29" s="9" t="s">
        <v>75</v>
      </c>
      <c r="E29" s="9" t="s">
        <v>76</v>
      </c>
      <c r="F29" s="10">
        <v>0.02</v>
      </c>
      <c r="G29" s="11">
        <v>2</v>
      </c>
      <c r="H29" s="12">
        <f>F29 * G29 * 19048.365</f>
        <v>761.93460000000005</v>
      </c>
      <c r="I29" s="12">
        <f>F29 * G29 * 17188.559066</f>
        <v>687.54236264000008</v>
      </c>
      <c r="J29" s="12">
        <f t="shared" si="4"/>
        <v>0</v>
      </c>
      <c r="K29" s="12">
        <f>F29 * G29 * 5943.08988</f>
        <v>237.72359520000003</v>
      </c>
      <c r="L29" s="13">
        <f t="shared" si="1"/>
        <v>1687.2005578400003</v>
      </c>
    </row>
    <row r="30" spans="2:12" ht="29.25" customHeight="1">
      <c r="B30" s="7">
        <v>30</v>
      </c>
      <c r="C30" s="8" t="s">
        <v>77</v>
      </c>
      <c r="D30" s="9" t="s">
        <v>78</v>
      </c>
      <c r="E30" s="9" t="s">
        <v>79</v>
      </c>
      <c r="F30" s="10">
        <v>0.01</v>
      </c>
      <c r="G30" s="11">
        <v>1</v>
      </c>
      <c r="H30" s="12">
        <f>F30 * G30 * 19260.309046</f>
        <v>192.60309045999998</v>
      </c>
      <c r="I30" s="12">
        <f>F30 * G30 * 13074.274888</f>
        <v>130.74274887999999</v>
      </c>
      <c r="J30" s="12">
        <f t="shared" si="4"/>
        <v>0</v>
      </c>
      <c r="K30" s="12">
        <f>F30 * G30 * 6009.21642199999</f>
        <v>60.092164219999908</v>
      </c>
      <c r="L30" s="13">
        <f t="shared" si="1"/>
        <v>383.43800355999991</v>
      </c>
    </row>
    <row r="31" spans="2:12" ht="29.25" customHeight="1">
      <c r="B31" s="7">
        <v>31</v>
      </c>
      <c r="C31" s="8" t="s">
        <v>80</v>
      </c>
      <c r="D31" s="9" t="s">
        <v>81</v>
      </c>
      <c r="E31" s="9" t="s">
        <v>79</v>
      </c>
      <c r="F31" s="10">
        <v>0.02</v>
      </c>
      <c r="G31" s="11">
        <v>2</v>
      </c>
      <c r="H31" s="12">
        <f>F31 * G31 * 20223.3245</f>
        <v>808.93297999999993</v>
      </c>
      <c r="I31" s="12">
        <f>F31 * G31 * 15834.564328</f>
        <v>633.38257312000007</v>
      </c>
      <c r="J31" s="12">
        <f t="shared" si="4"/>
        <v>0</v>
      </c>
      <c r="K31" s="12">
        <f>F31 * G31 * 6309.677244</f>
        <v>252.38708976000001</v>
      </c>
      <c r="L31" s="13">
        <f t="shared" si="1"/>
        <v>1694.70264288</v>
      </c>
    </row>
    <row r="32" spans="2:12" ht="29.25" customHeight="1">
      <c r="B32" s="7">
        <v>32</v>
      </c>
      <c r="C32" s="8" t="s">
        <v>82</v>
      </c>
      <c r="D32" s="9" t="s">
        <v>83</v>
      </c>
      <c r="E32" s="9" t="s">
        <v>84</v>
      </c>
      <c r="F32" s="10">
        <v>0.02</v>
      </c>
      <c r="G32" s="11">
        <v>2</v>
      </c>
      <c r="H32" s="12">
        <f>F32 * G32 * 68937.156</f>
        <v>2757.4862400000002</v>
      </c>
      <c r="I32" s="12">
        <f>F32 * G32 * 2140.763458</f>
        <v>85.630538319999999</v>
      </c>
      <c r="J32" s="12">
        <f t="shared" si="4"/>
        <v>0</v>
      </c>
      <c r="K32" s="12">
        <f>F32 * G32 * 21508.3926719999</f>
        <v>860.335706879996</v>
      </c>
      <c r="L32" s="13">
        <f t="shared" si="1"/>
        <v>3703.4524851999963</v>
      </c>
    </row>
    <row r="33" spans="2:12" ht="29.25" customHeight="1">
      <c r="B33" s="7">
        <v>33</v>
      </c>
      <c r="C33" s="8" t="s">
        <v>85</v>
      </c>
      <c r="D33" s="9" t="s">
        <v>86</v>
      </c>
      <c r="E33" s="9" t="s">
        <v>84</v>
      </c>
      <c r="F33" s="10">
        <v>0.01</v>
      </c>
      <c r="G33" s="11">
        <v>1</v>
      </c>
      <c r="H33" s="12">
        <f>F33 * G33 * 52506.661</f>
        <v>525.06660999999997</v>
      </c>
      <c r="I33" s="12">
        <f>F33 * G33 * 13384.689778</f>
        <v>133.84689778000001</v>
      </c>
      <c r="J33" s="12">
        <f t="shared" si="4"/>
        <v>0</v>
      </c>
      <c r="K33" s="12">
        <f>F33 * G33 * 16382.078232</f>
        <v>163.82078232000001</v>
      </c>
      <c r="L33" s="13">
        <f t="shared" si="1"/>
        <v>822.73429009999995</v>
      </c>
    </row>
    <row r="34" spans="2:12" ht="29.25" customHeight="1">
      <c r="B34" s="7">
        <v>34</v>
      </c>
      <c r="C34" s="8" t="s">
        <v>87</v>
      </c>
      <c r="D34" s="9" t="s">
        <v>88</v>
      </c>
      <c r="E34" s="9" t="s">
        <v>89</v>
      </c>
      <c r="F34" s="10">
        <v>1</v>
      </c>
      <c r="G34" s="11">
        <v>1</v>
      </c>
      <c r="H34" s="12">
        <f>F34 * G34 * 1443.060826</f>
        <v>1443.0608259999999</v>
      </c>
      <c r="I34" s="12">
        <f>F34 * G34 * 9459.733517</f>
        <v>9459.7335170000006</v>
      </c>
      <c r="J34" s="12">
        <f t="shared" si="4"/>
        <v>0</v>
      </c>
      <c r="K34" s="12">
        <f>F34 * G34 * 450.234977</f>
        <v>450.23497700000001</v>
      </c>
      <c r="L34" s="13">
        <f t="shared" si="1"/>
        <v>11353.029320000001</v>
      </c>
    </row>
    <row r="35" spans="2:12" ht="29.25" customHeight="1">
      <c r="B35" s="7">
        <v>35</v>
      </c>
      <c r="C35" s="8" t="s">
        <v>90</v>
      </c>
      <c r="D35" s="9" t="s">
        <v>91</v>
      </c>
      <c r="E35" s="9" t="s">
        <v>92</v>
      </c>
      <c r="F35" s="10">
        <v>0.2</v>
      </c>
      <c r="G35" s="11">
        <v>1</v>
      </c>
      <c r="H35" s="12">
        <f>F35 * G35 * 482.866087</f>
        <v>96.573217400000004</v>
      </c>
      <c r="I35" s="12">
        <f>F35 * G35 * 2138.058412</f>
        <v>427.61168240000001</v>
      </c>
      <c r="J35" s="12">
        <f t="shared" si="4"/>
        <v>0</v>
      </c>
      <c r="K35" s="12">
        <f>F35 * G35 * 150.654219</f>
        <v>30.130843800000005</v>
      </c>
      <c r="L35" s="13">
        <f t="shared" si="1"/>
        <v>554.31574360000002</v>
      </c>
    </row>
    <row r="36" spans="2:12" ht="29.25" customHeight="1">
      <c r="B36" s="7">
        <v>36</v>
      </c>
      <c r="C36" s="8" t="s">
        <v>93</v>
      </c>
      <c r="D36" s="9" t="s">
        <v>94</v>
      </c>
      <c r="E36" s="9" t="s">
        <v>95</v>
      </c>
      <c r="F36" s="10">
        <v>0.01</v>
      </c>
      <c r="G36" s="11">
        <v>1</v>
      </c>
      <c r="H36" s="12">
        <f>F36 * G36 * 187460</f>
        <v>1874.6000000000001</v>
      </c>
      <c r="I36" s="12">
        <f>F36 * G36 * 12357.452188</f>
        <v>123.57452187999999</v>
      </c>
      <c r="J36" s="12">
        <f t="shared" si="4"/>
        <v>0</v>
      </c>
      <c r="K36" s="12">
        <f>F36 * G36 * 58487.52</f>
        <v>584.87519999999995</v>
      </c>
      <c r="L36" s="13">
        <f t="shared" si="1"/>
        <v>2583.0497218800001</v>
      </c>
    </row>
    <row r="37" spans="2:12" ht="29.25" customHeight="1">
      <c r="B37" s="7">
        <v>37</v>
      </c>
      <c r="C37" s="8" t="s">
        <v>96</v>
      </c>
      <c r="D37" s="9" t="s">
        <v>97</v>
      </c>
      <c r="E37" s="9" t="s">
        <v>98</v>
      </c>
      <c r="F37" s="10">
        <v>0.01</v>
      </c>
      <c r="G37" s="11">
        <v>1</v>
      </c>
      <c r="H37" s="12">
        <f>F37 * G37 * 12163.84</f>
        <v>121.6384</v>
      </c>
      <c r="I37" s="12">
        <f>F37 * G37 * 13301.676695</f>
        <v>133.01676695</v>
      </c>
      <c r="J37" s="12">
        <f t="shared" si="4"/>
        <v>0</v>
      </c>
      <c r="K37" s="12">
        <f>F37 * G37 * 3795.11807999999</f>
        <v>37.951180799999904</v>
      </c>
      <c r="L37" s="13">
        <f t="shared" si="1"/>
        <v>292.60634774999994</v>
      </c>
    </row>
    <row r="38" spans="2:12" ht="29.25" customHeight="1">
      <c r="B38" s="7">
        <v>38</v>
      </c>
      <c r="C38" s="8" t="s">
        <v>99</v>
      </c>
      <c r="D38" s="9" t="s">
        <v>100</v>
      </c>
      <c r="E38" s="9" t="s">
        <v>98</v>
      </c>
      <c r="F38" s="10">
        <v>0.04</v>
      </c>
      <c r="G38" s="11">
        <v>4</v>
      </c>
      <c r="H38" s="12">
        <f>F38 * G38 * 12163.84</f>
        <v>1946.2144000000001</v>
      </c>
      <c r="I38" s="12">
        <f>F38 * G38 * 19640.465625</f>
        <v>3142.4745000000003</v>
      </c>
      <c r="J38" s="12">
        <f t="shared" si="4"/>
        <v>0</v>
      </c>
      <c r="K38" s="12">
        <f>F38 * G38 * 3795.11807999999</f>
        <v>607.21889279999846</v>
      </c>
      <c r="L38" s="13">
        <f t="shared" si="1"/>
        <v>5695.9077927999988</v>
      </c>
    </row>
    <row r="39" spans="2:12" ht="29.25" customHeight="1">
      <c r="B39" s="7">
        <v>40</v>
      </c>
      <c r="C39" s="8" t="s">
        <v>101</v>
      </c>
      <c r="D39" s="9" t="s">
        <v>102</v>
      </c>
      <c r="E39" s="9" t="s">
        <v>103</v>
      </c>
      <c r="F39" s="10">
        <v>0.04</v>
      </c>
      <c r="G39" s="11">
        <v>4</v>
      </c>
      <c r="H39" s="12">
        <f>F39 * G39 * 25868.15</f>
        <v>4138.9040000000005</v>
      </c>
      <c r="I39" s="12">
        <f>F39 * G39 * 45657.39542</f>
        <v>7305.1832672</v>
      </c>
      <c r="J39" s="12">
        <f t="shared" si="4"/>
        <v>0</v>
      </c>
      <c r="K39" s="12">
        <f>F39 * G39 * 8070.8628</f>
        <v>1291.3380480000001</v>
      </c>
      <c r="L39" s="13">
        <f t="shared" si="1"/>
        <v>12735.4253152</v>
      </c>
    </row>
    <row r="40" spans="2:12" ht="29.25" customHeight="1">
      <c r="B40" s="14">
        <v>42</v>
      </c>
      <c r="C40" s="15" t="s">
        <v>104</v>
      </c>
      <c r="D40" s="16" t="s">
        <v>105</v>
      </c>
      <c r="E40" s="16" t="s">
        <v>106</v>
      </c>
      <c r="F40" s="17">
        <v>1</v>
      </c>
      <c r="G40" s="18">
        <v>1</v>
      </c>
      <c r="H40" s="19">
        <f>F40 * G40 * 134.957</f>
        <v>134.95699999999999</v>
      </c>
      <c r="I40" s="19">
        <f>F40 * G40 * 1261.0566</f>
        <v>1261.0565999999999</v>
      </c>
      <c r="J40" s="19">
        <f t="shared" si="4"/>
        <v>0</v>
      </c>
      <c r="K40" s="19">
        <f>F40 * G40 * 42.106584</f>
        <v>42.106583999999998</v>
      </c>
      <c r="L40" s="20">
        <f t="shared" si="1"/>
        <v>1438.1201839999999</v>
      </c>
    </row>
    <row r="41" spans="2:12" ht="15">
      <c r="B41" s="28" t="s">
        <v>26</v>
      </c>
      <c r="C41" s="28"/>
      <c r="D41" s="28"/>
      <c r="E41" s="28"/>
      <c r="F41" s="28"/>
      <c r="G41" s="28"/>
      <c r="H41" s="24">
        <f t="shared" ref="H41:L41" si="5">SUM(H4:H40)</f>
        <v>38179.868802340003</v>
      </c>
      <c r="I41" s="24">
        <f t="shared" si="5"/>
        <v>78526.940818069983</v>
      </c>
      <c r="J41" s="24">
        <f t="shared" si="5"/>
        <v>33.042252869999999</v>
      </c>
      <c r="K41" s="24">
        <f t="shared" si="5"/>
        <v>11914.779528809991</v>
      </c>
      <c r="L41" s="24">
        <f t="shared" si="5"/>
        <v>128654.63140209</v>
      </c>
    </row>
  </sheetData>
  <mergeCells count="2">
    <mergeCell ref="B41:G41"/>
    <mergeCell ref="B2:K3"/>
  </mergeCells>
  <pageMargins left="0.70866141732283472" right="0.70866141732283472" top="0.74803149606299213" bottom="0.74803149606299213" header="0.31496062992125984" footer="0.31496062992125984"/>
  <pageSetup paperSize="9" scale="59" fitToHeight="0" orientation="landscape" horizontalDpi="4294967295" verticalDpi="4294967295" r:id="rId1"/>
  <headerFooter>
    <oddFooter>Стр.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1:L45"/>
  <sheetViews>
    <sheetView tabSelected="1" topLeftCell="A28" workbookViewId="0">
      <selection activeCell="E49" sqref="E49"/>
    </sheetView>
  </sheetViews>
  <sheetFormatPr defaultRowHeight="15.75"/>
  <cols>
    <col min="1" max="1" width="0.85546875" customWidth="1"/>
    <col min="2" max="2" width="6" style="1" customWidth="1"/>
    <col min="3" max="3" width="13" style="2" customWidth="1"/>
    <col min="4" max="4" width="50" style="3" customWidth="1"/>
    <col min="5" max="5" width="20" style="3" customWidth="1"/>
    <col min="6" max="7" width="12" style="4" customWidth="1"/>
    <col min="8" max="9" width="14" style="5" customWidth="1"/>
    <col min="10" max="10" width="13" style="5" customWidth="1"/>
    <col min="11" max="11" width="14" style="5" customWidth="1"/>
    <col min="12" max="12" width="14.85546875" style="5" customWidth="1"/>
  </cols>
  <sheetData>
    <row r="1" spans="2:12" ht="36">
      <c r="B1" s="21" t="s">
        <v>1</v>
      </c>
      <c r="C1" s="22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3" t="s">
        <v>7</v>
      </c>
      <c r="I1" s="23" t="s">
        <v>8</v>
      </c>
      <c r="J1" s="23" t="s">
        <v>9</v>
      </c>
      <c r="K1" s="23" t="s">
        <v>10</v>
      </c>
      <c r="L1" s="23" t="s">
        <v>11</v>
      </c>
    </row>
    <row r="2" spans="2:12" thickBot="1">
      <c r="B2" s="29" t="s">
        <v>135</v>
      </c>
      <c r="C2" s="29"/>
      <c r="D2" s="29"/>
      <c r="E2" s="29"/>
      <c r="F2" s="29"/>
      <c r="G2" s="29"/>
      <c r="H2" s="29"/>
      <c r="I2" s="29"/>
      <c r="J2" s="29"/>
      <c r="K2" s="29"/>
      <c r="L2" s="25"/>
    </row>
    <row r="3" spans="2:12" ht="16.5" thickTop="1" thickBot="1">
      <c r="B3" s="30"/>
      <c r="C3" s="30"/>
      <c r="D3" s="30"/>
      <c r="E3" s="30"/>
      <c r="F3" s="30"/>
      <c r="G3" s="30"/>
      <c r="H3" s="30"/>
      <c r="I3" s="30"/>
      <c r="J3" s="30"/>
      <c r="K3" s="30"/>
      <c r="L3" s="26"/>
    </row>
    <row r="4" spans="2:12" ht="39" thickTop="1">
      <c r="B4" s="7">
        <v>1</v>
      </c>
      <c r="C4" s="8" t="s">
        <v>12</v>
      </c>
      <c r="D4" s="9" t="s">
        <v>13</v>
      </c>
      <c r="E4" s="9" t="s">
        <v>14</v>
      </c>
      <c r="F4" s="10">
        <v>0.04</v>
      </c>
      <c r="G4" s="11">
        <v>2</v>
      </c>
      <c r="H4" s="12">
        <f>F4 * G4 * 15639.52</f>
        <v>1251.1616000000001</v>
      </c>
      <c r="I4" s="12">
        <f>F4 * G4 * 21705.165506</f>
        <v>1736.4132404800002</v>
      </c>
      <c r="J4" s="12">
        <f t="shared" ref="J4:J5" si="0">F4 * G4 * 0</f>
        <v>0</v>
      </c>
      <c r="K4" s="12">
        <f>F4 * G4 * 4879.53024</f>
        <v>390.36241920000003</v>
      </c>
      <c r="L4" s="13">
        <f t="shared" ref="L4:L44" si="1">SUM(H4:K4)</f>
        <v>3377.9372596800008</v>
      </c>
    </row>
    <row r="5" spans="2:12" ht="38.25">
      <c r="B5" s="7">
        <v>2</v>
      </c>
      <c r="C5" s="8" t="s">
        <v>15</v>
      </c>
      <c r="D5" s="9" t="s">
        <v>16</v>
      </c>
      <c r="E5" s="9" t="s">
        <v>14</v>
      </c>
      <c r="F5" s="10">
        <v>0.02</v>
      </c>
      <c r="G5" s="11">
        <v>2</v>
      </c>
      <c r="H5" s="12">
        <f>F5 * G5 * 16576.82</f>
        <v>663.07280000000003</v>
      </c>
      <c r="I5" s="12">
        <f>F5 * G5 * 34762.843598</f>
        <v>1390.51374392</v>
      </c>
      <c r="J5" s="12">
        <f t="shared" si="0"/>
        <v>0</v>
      </c>
      <c r="K5" s="12">
        <f>F5 * G5 * 5171.96784</f>
        <v>206.87871360000003</v>
      </c>
      <c r="L5" s="13">
        <f t="shared" si="1"/>
        <v>2260.4652575200003</v>
      </c>
    </row>
    <row r="6" spans="2:12">
      <c r="B6" s="7">
        <v>3</v>
      </c>
      <c r="C6" s="8" t="s">
        <v>27</v>
      </c>
      <c r="D6" s="9" t="s">
        <v>28</v>
      </c>
      <c r="E6" s="9" t="s">
        <v>29</v>
      </c>
      <c r="F6" s="10">
        <v>0.06</v>
      </c>
      <c r="G6" s="11">
        <v>3</v>
      </c>
      <c r="H6" s="12">
        <f>F6 * G6 * 3910.157507</f>
        <v>703.82835125999998</v>
      </c>
      <c r="I6" s="12">
        <f>F6 * G6 * 41845.140276</f>
        <v>7532.1252496799998</v>
      </c>
      <c r="J6" s="12">
        <f>F6 * G6 * 204.802785</f>
        <v>36.864501300000001</v>
      </c>
      <c r="K6" s="12">
        <f>F6 * G6 * 1235.142821</f>
        <v>222.32570777999999</v>
      </c>
      <c r="L6" s="13">
        <f t="shared" si="1"/>
        <v>8495.1438100200012</v>
      </c>
    </row>
    <row r="7" spans="2:12" ht="25.5">
      <c r="B7" s="7">
        <v>4</v>
      </c>
      <c r="C7" s="8" t="s">
        <v>30</v>
      </c>
      <c r="D7" s="9" t="s">
        <v>31</v>
      </c>
      <c r="E7" s="9" t="s">
        <v>32</v>
      </c>
      <c r="F7" s="10">
        <v>0.06</v>
      </c>
      <c r="G7" s="11">
        <v>3</v>
      </c>
      <c r="H7" s="12">
        <f>F7 * G7 * 7529.896158</f>
        <v>1355.3813084399999</v>
      </c>
      <c r="I7" s="12">
        <f>F7 * G7 * 81375.866004</f>
        <v>14647.655880719998</v>
      </c>
      <c r="J7" s="12">
        <f>F7 * G7 * 391.708823</f>
        <v>70.507588139999996</v>
      </c>
      <c r="K7" s="12">
        <f>F7 * G7 * 2376.640223</f>
        <v>427.79524013999998</v>
      </c>
      <c r="L7" s="13">
        <f t="shared" si="1"/>
        <v>16501.340017439998</v>
      </c>
    </row>
    <row r="8" spans="2:12" ht="25.5">
      <c r="B8" s="7">
        <v>5</v>
      </c>
      <c r="C8" s="8" t="s">
        <v>18</v>
      </c>
      <c r="D8" s="9" t="s">
        <v>19</v>
      </c>
      <c r="E8" s="9" t="s">
        <v>17</v>
      </c>
      <c r="F8" s="10">
        <v>0.02</v>
      </c>
      <c r="G8" s="11">
        <v>2</v>
      </c>
      <c r="H8" s="12">
        <f>F8 * G8 * 13711.78</f>
        <v>548.47120000000007</v>
      </c>
      <c r="I8" s="12">
        <f>F8 * G8 * 2871.662897</f>
        <v>114.86651588000001</v>
      </c>
      <c r="J8" s="12">
        <f>F8 * G8 * 0</f>
        <v>0</v>
      </c>
      <c r="K8" s="12">
        <f>F8 * G8 * 4278.07536</f>
        <v>171.12301439999999</v>
      </c>
      <c r="L8" s="13">
        <f t="shared" si="1"/>
        <v>834.46073028000012</v>
      </c>
    </row>
    <row r="9" spans="2:12" ht="25.5">
      <c r="B9" s="7">
        <v>6</v>
      </c>
      <c r="C9" s="8" t="s">
        <v>20</v>
      </c>
      <c r="D9" s="9" t="s">
        <v>21</v>
      </c>
      <c r="E9" s="9" t="s">
        <v>22</v>
      </c>
      <c r="F9" s="10">
        <v>0.02</v>
      </c>
      <c r="G9" s="11">
        <v>2</v>
      </c>
      <c r="H9" s="12">
        <f>F9 * G9 * 2387.741</f>
        <v>95.509640000000005</v>
      </c>
      <c r="I9" s="12">
        <f>F9 * G9 * 756.000504</f>
        <v>30.24002016</v>
      </c>
      <c r="J9" s="12">
        <f t="shared" ref="J9:J10" si="2">F9 * G9 * 0</f>
        <v>0</v>
      </c>
      <c r="K9" s="12">
        <f>F9 * G9 * 744.975192</f>
        <v>29.799007679999999</v>
      </c>
      <c r="L9" s="13">
        <f t="shared" si="1"/>
        <v>155.54866784000001</v>
      </c>
    </row>
    <row r="10" spans="2:12" ht="25.5">
      <c r="B10" s="7">
        <v>7</v>
      </c>
      <c r="C10" s="8" t="s">
        <v>23</v>
      </c>
      <c r="D10" s="9" t="s">
        <v>24</v>
      </c>
      <c r="E10" s="9" t="s">
        <v>25</v>
      </c>
      <c r="F10" s="10">
        <v>0.03</v>
      </c>
      <c r="G10" s="11">
        <v>3</v>
      </c>
      <c r="H10" s="12">
        <f>F10 * G10 * 7328.71</f>
        <v>659.58389999999997</v>
      </c>
      <c r="I10" s="12">
        <f>F10 * G10 * 110433.355</f>
        <v>9939.0019499999999</v>
      </c>
      <c r="J10" s="12">
        <f t="shared" si="2"/>
        <v>0</v>
      </c>
      <c r="K10" s="12">
        <f>F10 * G10 * 2286.55752</f>
        <v>205.79017679999998</v>
      </c>
      <c r="L10" s="13">
        <f t="shared" si="1"/>
        <v>10804.376026799999</v>
      </c>
    </row>
    <row r="11" spans="2:12">
      <c r="B11" s="7">
        <v>8</v>
      </c>
      <c r="C11" s="8" t="s">
        <v>27</v>
      </c>
      <c r="D11" s="9" t="s">
        <v>28</v>
      </c>
      <c r="E11" s="9" t="s">
        <v>29</v>
      </c>
      <c r="F11" s="10">
        <v>0.04</v>
      </c>
      <c r="G11" s="11">
        <v>4</v>
      </c>
      <c r="H11" s="12">
        <f>F11 * G11 * 3910.157507</f>
        <v>625.62520112000004</v>
      </c>
      <c r="I11" s="12">
        <f>F11 * G11 * 41845.140276</f>
        <v>6695.2224441600001</v>
      </c>
      <c r="J11" s="12">
        <f>F11 * G11 * 204.802785</f>
        <v>32.7684456</v>
      </c>
      <c r="K11" s="12">
        <f>F11 * G11 * 1235.142821</f>
        <v>197.62285136</v>
      </c>
      <c r="L11" s="13">
        <f t="shared" si="1"/>
        <v>7551.2389422400001</v>
      </c>
    </row>
    <row r="12" spans="2:12" ht="25.5">
      <c r="B12" s="7">
        <v>9</v>
      </c>
      <c r="C12" s="8" t="s">
        <v>30</v>
      </c>
      <c r="D12" s="9" t="s">
        <v>31</v>
      </c>
      <c r="E12" s="9" t="s">
        <v>32</v>
      </c>
      <c r="F12" s="10">
        <v>0.01</v>
      </c>
      <c r="G12" s="11">
        <v>1</v>
      </c>
      <c r="H12" s="12">
        <f>F12 * G12 * 7529.896158</f>
        <v>75.298961579999997</v>
      </c>
      <c r="I12" s="12">
        <f>F12 * G12 * 81375.866004</f>
        <v>813.75866004</v>
      </c>
      <c r="J12" s="12">
        <f>F12 * G12 * 391.708823</f>
        <v>3.9170882300000001</v>
      </c>
      <c r="K12" s="12">
        <f>F12 * G12 * 2376.640223</f>
        <v>23.766402230000001</v>
      </c>
      <c r="L12" s="13">
        <f t="shared" si="1"/>
        <v>916.74111207999999</v>
      </c>
    </row>
    <row r="13" spans="2:12" ht="25.5">
      <c r="B13" s="7">
        <v>25</v>
      </c>
      <c r="C13" s="8" t="s">
        <v>107</v>
      </c>
      <c r="D13" s="9" t="s">
        <v>108</v>
      </c>
      <c r="E13" s="9" t="s">
        <v>109</v>
      </c>
      <c r="F13" s="10">
        <v>0.2</v>
      </c>
      <c r="G13" s="11">
        <v>1</v>
      </c>
      <c r="H13" s="12">
        <f>F13 * G13 * 14346.021412</f>
        <v>2869.2042824</v>
      </c>
      <c r="I13" s="12">
        <f>F13 * G13 * 48661.911659</f>
        <v>9732.3823317999995</v>
      </c>
      <c r="J13" s="12">
        <f>F13 * G13 * 0</f>
        <v>0</v>
      </c>
      <c r="K13" s="12">
        <f>F13 * G13 * 4475.95868</f>
        <v>895.19173599999999</v>
      </c>
      <c r="L13" s="13">
        <f t="shared" si="1"/>
        <v>13496.7783502</v>
      </c>
    </row>
    <row r="14" spans="2:12" ht="25.5">
      <c r="B14" s="7">
        <v>10</v>
      </c>
      <c r="C14" s="8" t="s">
        <v>33</v>
      </c>
      <c r="D14" s="9" t="s">
        <v>34</v>
      </c>
      <c r="E14" s="9" t="s">
        <v>29</v>
      </c>
      <c r="F14" s="10">
        <v>0.02</v>
      </c>
      <c r="G14" s="11">
        <v>2</v>
      </c>
      <c r="H14" s="12">
        <f>F14 * G14 * 2289.63494</f>
        <v>91.585397599999993</v>
      </c>
      <c r="I14" s="12">
        <f>F14 * G14 * 8888.9847</f>
        <v>355.55938800000007</v>
      </c>
      <c r="J14" s="12">
        <f>F14 * G14 * 225.070527</f>
        <v>9.0028210800000004</v>
      </c>
      <c r="K14" s="12">
        <f>F14 * G14 * 737.632408</f>
        <v>29.505296320000003</v>
      </c>
      <c r="L14" s="13">
        <f t="shared" si="1"/>
        <v>485.65290300000009</v>
      </c>
    </row>
    <row r="15" spans="2:12" ht="25.5">
      <c r="B15" s="7">
        <v>11</v>
      </c>
      <c r="C15" s="8" t="s">
        <v>110</v>
      </c>
      <c r="D15" s="9" t="s">
        <v>111</v>
      </c>
      <c r="E15" s="9" t="s">
        <v>112</v>
      </c>
      <c r="F15" s="10">
        <v>1</v>
      </c>
      <c r="G15" s="11">
        <v>1</v>
      </c>
      <c r="H15" s="12">
        <f>F15 * G15 * 1440.234</f>
        <v>1440.2339999999999</v>
      </c>
      <c r="I15" s="12">
        <f>F15 * G15 * 373.563353</f>
        <v>373.56335300000001</v>
      </c>
      <c r="J15" s="12">
        <f t="shared" ref="J15:J19" si="3">F15 * G15 * 0</f>
        <v>0</v>
      </c>
      <c r="K15" s="12">
        <f>F15 * G15 * 449.353008</f>
        <v>449.35300799999999</v>
      </c>
      <c r="L15" s="13">
        <f t="shared" si="1"/>
        <v>2263.150361</v>
      </c>
    </row>
    <row r="16" spans="2:12">
      <c r="B16" s="7">
        <v>12</v>
      </c>
      <c r="C16" s="8" t="s">
        <v>113</v>
      </c>
      <c r="D16" s="9" t="s">
        <v>114</v>
      </c>
      <c r="E16" s="9" t="s">
        <v>115</v>
      </c>
      <c r="F16" s="10">
        <v>0</v>
      </c>
      <c r="G16" s="11">
        <v>0</v>
      </c>
      <c r="H16" s="12">
        <f>F16 * G16 * 14.1846</f>
        <v>0</v>
      </c>
      <c r="I16" s="12">
        <f>F16 * G16 * 1.533433</f>
        <v>0</v>
      </c>
      <c r="J16" s="12">
        <f t="shared" si="3"/>
        <v>0</v>
      </c>
      <c r="K16" s="12">
        <f>F16 * G16 * 4.425595</f>
        <v>0</v>
      </c>
      <c r="L16" s="13">
        <f t="shared" si="1"/>
        <v>0</v>
      </c>
    </row>
    <row r="17" spans="2:12">
      <c r="B17" s="7">
        <v>13</v>
      </c>
      <c r="C17" s="8" t="s">
        <v>35</v>
      </c>
      <c r="D17" s="9" t="s">
        <v>36</v>
      </c>
      <c r="E17" s="9" t="s">
        <v>37</v>
      </c>
      <c r="F17" s="10">
        <v>2</v>
      </c>
      <c r="G17" s="11">
        <v>2</v>
      </c>
      <c r="H17" s="12">
        <f>F17 * G17 * 125.3537</f>
        <v>501.41480000000001</v>
      </c>
      <c r="I17" s="12">
        <f>F17 * G17 * 68.385752</f>
        <v>273.54300799999999</v>
      </c>
      <c r="J17" s="12">
        <f t="shared" si="3"/>
        <v>0</v>
      </c>
      <c r="K17" s="12">
        <f>F17 * G17 * 39.110354</f>
        <v>156.441416</v>
      </c>
      <c r="L17" s="13">
        <f t="shared" si="1"/>
        <v>931.399224</v>
      </c>
    </row>
    <row r="18" spans="2:12">
      <c r="B18" s="7">
        <v>14</v>
      </c>
      <c r="C18" s="8" t="s">
        <v>38</v>
      </c>
      <c r="D18" s="9" t="s">
        <v>39</v>
      </c>
      <c r="E18" s="9" t="s">
        <v>40</v>
      </c>
      <c r="F18" s="10">
        <v>1</v>
      </c>
      <c r="G18" s="11">
        <v>1</v>
      </c>
      <c r="H18" s="12">
        <f>F18 * G18 * 35.4615</f>
        <v>35.461500000000001</v>
      </c>
      <c r="I18" s="12">
        <f>F18 * G18 * 158.431504</f>
        <v>158.43150399999999</v>
      </c>
      <c r="J18" s="12">
        <f t="shared" si="3"/>
        <v>0</v>
      </c>
      <c r="K18" s="12">
        <f>F18 * G18 * 11.063988</f>
        <v>11.063988</v>
      </c>
      <c r="L18" s="13">
        <f t="shared" si="1"/>
        <v>204.95699199999999</v>
      </c>
    </row>
    <row r="19" spans="2:12">
      <c r="B19" s="7">
        <v>15</v>
      </c>
      <c r="C19" s="8" t="s">
        <v>41</v>
      </c>
      <c r="D19" s="9" t="s">
        <v>42</v>
      </c>
      <c r="E19" s="9" t="s">
        <v>43</v>
      </c>
      <c r="F19" s="10">
        <v>0.01</v>
      </c>
      <c r="G19" s="11">
        <v>1</v>
      </c>
      <c r="H19" s="12">
        <f>F19 * G19 * 25248.588</f>
        <v>252.48588000000001</v>
      </c>
      <c r="I19" s="12">
        <f>F19 * G19 * 65571.509155</f>
        <v>655.71509155000012</v>
      </c>
      <c r="J19" s="12">
        <f t="shared" si="3"/>
        <v>0</v>
      </c>
      <c r="K19" s="12">
        <f>F19 * G19 * 7877.559456</f>
        <v>78.775594560000002</v>
      </c>
      <c r="L19" s="13">
        <f t="shared" si="1"/>
        <v>986.97656611000002</v>
      </c>
    </row>
    <row r="20" spans="2:12">
      <c r="B20" s="7">
        <v>17</v>
      </c>
      <c r="C20" s="8" t="s">
        <v>44</v>
      </c>
      <c r="D20" s="9" t="s">
        <v>45</v>
      </c>
      <c r="E20" s="9" t="s">
        <v>46</v>
      </c>
      <c r="F20" s="10">
        <v>0.02</v>
      </c>
      <c r="G20" s="11">
        <v>2</v>
      </c>
      <c r="H20" s="12">
        <f>F20 * G20 * 47282</f>
        <v>1891.28</v>
      </c>
      <c r="I20" s="12">
        <f>F20 * G20 * 76576.12775</f>
        <v>3063.04511</v>
      </c>
      <c r="J20" s="12">
        <f>F20 * G20 * 0</f>
        <v>0</v>
      </c>
      <c r="K20" s="12">
        <f>F20 * G20 * 14751.984</f>
        <v>590.07936000000007</v>
      </c>
      <c r="L20" s="13">
        <f t="shared" si="1"/>
        <v>5544.4044699999995</v>
      </c>
    </row>
    <row r="21" spans="2:12">
      <c r="B21" s="7">
        <v>18</v>
      </c>
      <c r="C21" s="8" t="s">
        <v>47</v>
      </c>
      <c r="D21" s="9" t="s">
        <v>48</v>
      </c>
      <c r="E21" s="9" t="s">
        <v>49</v>
      </c>
      <c r="F21" s="10">
        <v>2</v>
      </c>
      <c r="G21" s="11">
        <v>1</v>
      </c>
      <c r="H21" s="12">
        <f>F21 * G21 * 44.9179</f>
        <v>89.835800000000006</v>
      </c>
      <c r="I21" s="12">
        <f>F21 * G21 * 44.1864</f>
        <v>88.372799999999998</v>
      </c>
      <c r="J21" s="12">
        <f t="shared" ref="J21:J44" si="4">F21 * G21 * 0</f>
        <v>0</v>
      </c>
      <c r="K21" s="12">
        <f>F21 * G21 * 14.014385</f>
        <v>28.028770000000002</v>
      </c>
      <c r="L21" s="13">
        <f t="shared" si="1"/>
        <v>206.23737</v>
      </c>
    </row>
    <row r="22" spans="2:12" ht="25.5">
      <c r="B22" s="7">
        <v>19</v>
      </c>
      <c r="C22" s="8" t="s">
        <v>50</v>
      </c>
      <c r="D22" s="9" t="s">
        <v>51</v>
      </c>
      <c r="E22" s="9" t="s">
        <v>52</v>
      </c>
      <c r="F22" s="10">
        <v>4</v>
      </c>
      <c r="G22" s="11">
        <v>4</v>
      </c>
      <c r="H22" s="12">
        <f>F22 * G22 * 237.81681</f>
        <v>3805.0689600000001</v>
      </c>
      <c r="I22" s="12">
        <f>F22 * G22 * 479.105858</f>
        <v>7665.6937280000002</v>
      </c>
      <c r="J22" s="12">
        <f t="shared" si="4"/>
        <v>0</v>
      </c>
      <c r="K22" s="12">
        <f>F22 * G22 * 74.198845</f>
        <v>1187.1815200000001</v>
      </c>
      <c r="L22" s="13">
        <f t="shared" si="1"/>
        <v>12657.944208000001</v>
      </c>
    </row>
    <row r="23" spans="2:12" ht="25.5">
      <c r="B23" s="7">
        <v>20</v>
      </c>
      <c r="C23" s="8" t="s">
        <v>53</v>
      </c>
      <c r="D23" s="9" t="s">
        <v>54</v>
      </c>
      <c r="E23" s="9" t="s">
        <v>52</v>
      </c>
      <c r="F23" s="10">
        <v>2</v>
      </c>
      <c r="G23" s="11">
        <v>2</v>
      </c>
      <c r="H23" s="12">
        <f>F23 * G23 * 37.8256</f>
        <v>151.30240000000001</v>
      </c>
      <c r="I23" s="12">
        <f>F23 * G23 * 43.9812</f>
        <v>175.9248</v>
      </c>
      <c r="J23" s="12">
        <f t="shared" si="4"/>
        <v>0</v>
      </c>
      <c r="K23" s="12">
        <f>F23 * G23 * 11.801587</f>
        <v>47.206347999999998</v>
      </c>
      <c r="L23" s="13">
        <f t="shared" si="1"/>
        <v>374.43354800000003</v>
      </c>
    </row>
    <row r="24" spans="2:12">
      <c r="B24" s="7">
        <v>21</v>
      </c>
      <c r="C24" s="8" t="s">
        <v>55</v>
      </c>
      <c r="D24" s="9" t="s">
        <v>56</v>
      </c>
      <c r="E24" s="9" t="s">
        <v>57</v>
      </c>
      <c r="F24" s="10">
        <v>2</v>
      </c>
      <c r="G24" s="11">
        <v>2</v>
      </c>
      <c r="H24" s="12">
        <f>F24 * G24 * 22.45895</f>
        <v>89.835800000000006</v>
      </c>
      <c r="I24" s="12">
        <f>F24 * G24 * 141.0294</f>
        <v>564.11760000000004</v>
      </c>
      <c r="J24" s="12">
        <f t="shared" si="4"/>
        <v>0</v>
      </c>
      <c r="K24" s="12">
        <f>F24 * G24 * 7.007193</f>
        <v>28.028772</v>
      </c>
      <c r="L24" s="13">
        <f t="shared" si="1"/>
        <v>681.98217200000011</v>
      </c>
    </row>
    <row r="25" spans="2:12" ht="38.25">
      <c r="B25" s="7">
        <v>22</v>
      </c>
      <c r="C25" s="8" t="s">
        <v>58</v>
      </c>
      <c r="D25" s="9" t="s">
        <v>59</v>
      </c>
      <c r="E25" s="9" t="s">
        <v>14</v>
      </c>
      <c r="F25" s="10">
        <v>0.02</v>
      </c>
      <c r="G25" s="11">
        <v>2</v>
      </c>
      <c r="H25" s="12">
        <f>F25 * G25 * 17618.977</f>
        <v>704.75907999999993</v>
      </c>
      <c r="I25" s="12">
        <f>F25 * G25 * 18074.952694</f>
        <v>722.99810776000004</v>
      </c>
      <c r="J25" s="12">
        <f t="shared" si="4"/>
        <v>0</v>
      </c>
      <c r="K25" s="12">
        <f>F25 * G25 * 5497.120824</f>
        <v>219.88483295999998</v>
      </c>
      <c r="L25" s="13">
        <f t="shared" si="1"/>
        <v>1647.6420207199999</v>
      </c>
    </row>
    <row r="26" spans="2:12" ht="38.25">
      <c r="B26" s="7">
        <v>23</v>
      </c>
      <c r="C26" s="8" t="s">
        <v>60</v>
      </c>
      <c r="D26" s="9" t="s">
        <v>61</v>
      </c>
      <c r="E26" s="9" t="s">
        <v>14</v>
      </c>
      <c r="F26" s="10">
        <v>0.02</v>
      </c>
      <c r="G26" s="11">
        <v>2</v>
      </c>
      <c r="H26" s="12">
        <f>F26 * G26 * 19453.3435</f>
        <v>778.13373999999999</v>
      </c>
      <c r="I26" s="12">
        <f>F26 * G26 * 25367.354534</f>
        <v>1014.6941813599999</v>
      </c>
      <c r="J26" s="12">
        <f t="shared" si="4"/>
        <v>0</v>
      </c>
      <c r="K26" s="12">
        <f>F26 * G26 * 6069.443172</f>
        <v>242.77772688000002</v>
      </c>
      <c r="L26" s="13">
        <f t="shared" si="1"/>
        <v>2035.6056482399999</v>
      </c>
    </row>
    <row r="27" spans="2:12">
      <c r="B27" s="7">
        <v>24</v>
      </c>
      <c r="C27" s="8" t="s">
        <v>62</v>
      </c>
      <c r="D27" s="9" t="s">
        <v>63</v>
      </c>
      <c r="E27" s="9" t="s">
        <v>64</v>
      </c>
      <c r="F27" s="10">
        <v>0.02</v>
      </c>
      <c r="G27" s="11">
        <v>2</v>
      </c>
      <c r="H27" s="12">
        <f>F27 * G27 * 6713.504</f>
        <v>268.54016000000001</v>
      </c>
      <c r="I27" s="12">
        <f>F27 * G27 * 6955.135292</f>
        <v>278.20541168</v>
      </c>
      <c r="J27" s="12">
        <f t="shared" si="4"/>
        <v>0</v>
      </c>
      <c r="K27" s="12">
        <f>F27 * G27 * 2094.613248</f>
        <v>83.784529920000011</v>
      </c>
      <c r="L27" s="13">
        <f t="shared" si="1"/>
        <v>630.53010160000008</v>
      </c>
    </row>
    <row r="28" spans="2:12" ht="25.5">
      <c r="B28" s="7">
        <v>25</v>
      </c>
      <c r="C28" s="8" t="s">
        <v>65</v>
      </c>
      <c r="D28" s="9" t="s">
        <v>66</v>
      </c>
      <c r="E28" s="9" t="s">
        <v>67</v>
      </c>
      <c r="F28" s="10">
        <v>2</v>
      </c>
      <c r="G28" s="11">
        <v>2</v>
      </c>
      <c r="H28" s="12">
        <f>F28 * G28 * 30.7333</f>
        <v>122.9332</v>
      </c>
      <c r="I28" s="12">
        <f>F28 * G28 * 6.05454</f>
        <v>24.218160000000001</v>
      </c>
      <c r="J28" s="12">
        <f t="shared" si="4"/>
        <v>0</v>
      </c>
      <c r="K28" s="12">
        <f>F28 * G28 * 9.58879</f>
        <v>38.355159999999998</v>
      </c>
      <c r="L28" s="13">
        <f t="shared" si="1"/>
        <v>185.50652000000002</v>
      </c>
    </row>
    <row r="29" spans="2:12" ht="25.5">
      <c r="B29" s="7">
        <v>26</v>
      </c>
      <c r="C29" s="8" t="s">
        <v>68</v>
      </c>
      <c r="D29" s="9" t="s">
        <v>69</v>
      </c>
      <c r="E29" s="9" t="s">
        <v>70</v>
      </c>
      <c r="F29" s="10">
        <v>1</v>
      </c>
      <c r="G29" s="11">
        <v>1</v>
      </c>
      <c r="H29" s="12">
        <f>F29 * G29 * 4122.7215</f>
        <v>4122.7214999999997</v>
      </c>
      <c r="I29" s="12">
        <f>F29 * G29 * 0</f>
        <v>0</v>
      </c>
      <c r="J29" s="12">
        <f t="shared" si="4"/>
        <v>0</v>
      </c>
      <c r="K29" s="12">
        <f>F29 * G29 * 1286.289108</f>
        <v>1286.2891079999999</v>
      </c>
      <c r="L29" s="13">
        <f t="shared" si="1"/>
        <v>5409.0106079999996</v>
      </c>
    </row>
    <row r="30" spans="2:12" ht="25.5">
      <c r="B30" s="7">
        <v>27</v>
      </c>
      <c r="C30" s="8" t="s">
        <v>71</v>
      </c>
      <c r="D30" s="9" t="s">
        <v>72</v>
      </c>
      <c r="E30" s="9" t="s">
        <v>73</v>
      </c>
      <c r="F30" s="10">
        <v>0.02</v>
      </c>
      <c r="G30" s="11">
        <v>2</v>
      </c>
      <c r="H30" s="12">
        <f>F30 * G30 * 17320.196583</f>
        <v>692.80786332000002</v>
      </c>
      <c r="I30" s="12">
        <f>F30 * G30 * 323569.609729</f>
        <v>12942.784389160001</v>
      </c>
      <c r="J30" s="12">
        <f t="shared" si="4"/>
        <v>0</v>
      </c>
      <c r="K30" s="12">
        <f>F30 * G30 * 5403.90133399999</f>
        <v>216.15605335999962</v>
      </c>
      <c r="L30" s="13">
        <f t="shared" si="1"/>
        <v>13851.748305840001</v>
      </c>
    </row>
    <row r="31" spans="2:12" ht="25.5">
      <c r="B31" s="7">
        <v>28</v>
      </c>
      <c r="C31" s="8" t="s">
        <v>74</v>
      </c>
      <c r="D31" s="9" t="s">
        <v>75</v>
      </c>
      <c r="E31" s="9" t="s">
        <v>76</v>
      </c>
      <c r="F31" s="10">
        <v>0.02</v>
      </c>
      <c r="G31" s="11">
        <v>2</v>
      </c>
      <c r="H31" s="12">
        <f>F31 * G31 * 19048.365</f>
        <v>761.93460000000005</v>
      </c>
      <c r="I31" s="12">
        <f>F31 * G31 * 17188.559066</f>
        <v>687.54236264000008</v>
      </c>
      <c r="J31" s="12">
        <f t="shared" si="4"/>
        <v>0</v>
      </c>
      <c r="K31" s="12">
        <f>F31 * G31 * 5943.08988</f>
        <v>237.72359520000003</v>
      </c>
      <c r="L31" s="13">
        <f t="shared" si="1"/>
        <v>1687.2005578400003</v>
      </c>
    </row>
    <row r="32" spans="2:12" ht="25.5">
      <c r="B32" s="7">
        <v>29</v>
      </c>
      <c r="C32" s="8" t="s">
        <v>116</v>
      </c>
      <c r="D32" s="9" t="s">
        <v>117</v>
      </c>
      <c r="E32" s="9" t="s">
        <v>76</v>
      </c>
      <c r="F32" s="10">
        <v>0.02</v>
      </c>
      <c r="G32" s="11">
        <v>2</v>
      </c>
      <c r="H32" s="12">
        <f>F32 * G32 * 24221.995</f>
        <v>968.87979999999993</v>
      </c>
      <c r="I32" s="12">
        <f>F32 * G32 * 37397.213283</f>
        <v>1495.8885313199999</v>
      </c>
      <c r="J32" s="12">
        <f t="shared" si="4"/>
        <v>0</v>
      </c>
      <c r="K32" s="12">
        <f>F32 * G32 * 7557.26243999999</f>
        <v>302.29049759999964</v>
      </c>
      <c r="L32" s="13">
        <f t="shared" si="1"/>
        <v>2767.0588289199991</v>
      </c>
    </row>
    <row r="33" spans="2:12" ht="38.25">
      <c r="B33" s="7">
        <v>30</v>
      </c>
      <c r="C33" s="8" t="s">
        <v>77</v>
      </c>
      <c r="D33" s="9" t="s">
        <v>78</v>
      </c>
      <c r="E33" s="9" t="s">
        <v>79</v>
      </c>
      <c r="F33" s="10">
        <v>0.02</v>
      </c>
      <c r="G33" s="11">
        <v>2</v>
      </c>
      <c r="H33" s="12">
        <f>F33 * G33 * 19260.309046</f>
        <v>770.4123618399999</v>
      </c>
      <c r="I33" s="12">
        <f>F33 * G33 * 13074.274888</f>
        <v>522.97099551999997</v>
      </c>
      <c r="J33" s="12">
        <f t="shared" si="4"/>
        <v>0</v>
      </c>
      <c r="K33" s="12">
        <f>F33 * G33 * 6009.21642199999</f>
        <v>240.36865687999963</v>
      </c>
      <c r="L33" s="13">
        <f t="shared" si="1"/>
        <v>1533.7520142399997</v>
      </c>
    </row>
    <row r="34" spans="2:12" ht="38.25">
      <c r="B34" s="7">
        <v>31</v>
      </c>
      <c r="C34" s="8" t="s">
        <v>80</v>
      </c>
      <c r="D34" s="9" t="s">
        <v>81</v>
      </c>
      <c r="E34" s="9" t="s">
        <v>79</v>
      </c>
      <c r="F34" s="10">
        <v>0.02</v>
      </c>
      <c r="G34" s="11">
        <v>2</v>
      </c>
      <c r="H34" s="12">
        <f>F34 * G34 * 20223.3245</f>
        <v>808.93297999999993</v>
      </c>
      <c r="I34" s="12">
        <f>F34 * G34 * 15834.564328</f>
        <v>633.38257312000007</v>
      </c>
      <c r="J34" s="12">
        <f t="shared" si="4"/>
        <v>0</v>
      </c>
      <c r="K34" s="12">
        <f>F34 * G34 * 6309.677244</f>
        <v>252.38708976000001</v>
      </c>
      <c r="L34" s="13">
        <f t="shared" si="1"/>
        <v>1694.70264288</v>
      </c>
    </row>
    <row r="35" spans="2:12" ht="25.5">
      <c r="B35" s="7">
        <v>32</v>
      </c>
      <c r="C35" s="8" t="s">
        <v>82</v>
      </c>
      <c r="D35" s="9" t="s">
        <v>83</v>
      </c>
      <c r="E35" s="9" t="s">
        <v>84</v>
      </c>
      <c r="F35" s="10">
        <v>0.02</v>
      </c>
      <c r="G35" s="11">
        <v>2</v>
      </c>
      <c r="H35" s="12">
        <f>F35 * G35 * 68937.156</f>
        <v>2757.4862400000002</v>
      </c>
      <c r="I35" s="12">
        <f>F35 * G35 * 2140.763458</f>
        <v>85.630538319999999</v>
      </c>
      <c r="J35" s="12">
        <f t="shared" si="4"/>
        <v>0</v>
      </c>
      <c r="K35" s="12">
        <f>F35 * G35 * 21508.3926719999</f>
        <v>860.335706879996</v>
      </c>
      <c r="L35" s="13">
        <f t="shared" si="1"/>
        <v>3703.4524851999963</v>
      </c>
    </row>
    <row r="36" spans="2:12" ht="25.5">
      <c r="B36" s="7">
        <v>33</v>
      </c>
      <c r="C36" s="8" t="s">
        <v>85</v>
      </c>
      <c r="D36" s="9" t="s">
        <v>86</v>
      </c>
      <c r="E36" s="9" t="s">
        <v>84</v>
      </c>
      <c r="F36" s="10">
        <v>0.01</v>
      </c>
      <c r="G36" s="11">
        <v>1</v>
      </c>
      <c r="H36" s="12">
        <f>F36 * G36 * 52506.661</f>
        <v>525.06660999999997</v>
      </c>
      <c r="I36" s="12">
        <f>F36 * G36 * 13384.689778</f>
        <v>133.84689778000001</v>
      </c>
      <c r="J36" s="12">
        <f t="shared" si="4"/>
        <v>0</v>
      </c>
      <c r="K36" s="12">
        <f>F36 * G36 * 16382.078232</f>
        <v>163.82078232000001</v>
      </c>
      <c r="L36" s="13">
        <f t="shared" si="1"/>
        <v>822.73429009999995</v>
      </c>
    </row>
    <row r="37" spans="2:12">
      <c r="B37" s="7">
        <v>34</v>
      </c>
      <c r="C37" s="8" t="s">
        <v>87</v>
      </c>
      <c r="D37" s="9" t="s">
        <v>88</v>
      </c>
      <c r="E37" s="9" t="s">
        <v>89</v>
      </c>
      <c r="F37" s="10">
        <v>1</v>
      </c>
      <c r="G37" s="11">
        <v>1</v>
      </c>
      <c r="H37" s="12">
        <f>F37 * G37 * 1443.060826</f>
        <v>1443.0608259999999</v>
      </c>
      <c r="I37" s="12">
        <f>F37 * G37 * 9459.733517</f>
        <v>9459.7335170000006</v>
      </c>
      <c r="J37" s="12">
        <f t="shared" si="4"/>
        <v>0</v>
      </c>
      <c r="K37" s="12">
        <f>F37 * G37 * 450.234977</f>
        <v>450.23497700000001</v>
      </c>
      <c r="L37" s="13">
        <f t="shared" si="1"/>
        <v>11353.029320000001</v>
      </c>
    </row>
    <row r="38" spans="2:12" ht="25.5">
      <c r="B38" s="7">
        <v>35</v>
      </c>
      <c r="C38" s="8" t="s">
        <v>90</v>
      </c>
      <c r="D38" s="9" t="s">
        <v>91</v>
      </c>
      <c r="E38" s="9" t="s">
        <v>92</v>
      </c>
      <c r="F38" s="10">
        <v>0.2</v>
      </c>
      <c r="G38" s="11">
        <v>1</v>
      </c>
      <c r="H38" s="12">
        <f>F38 * G38 * 482.866087</f>
        <v>96.573217400000004</v>
      </c>
      <c r="I38" s="12">
        <f>F38 * G38 * 2138.058412</f>
        <v>427.61168240000001</v>
      </c>
      <c r="J38" s="12">
        <f t="shared" si="4"/>
        <v>0</v>
      </c>
      <c r="K38" s="12">
        <f>F38 * G38 * 150.654219</f>
        <v>30.130843800000005</v>
      </c>
      <c r="L38" s="13">
        <f t="shared" si="1"/>
        <v>554.31574360000002</v>
      </c>
    </row>
    <row r="39" spans="2:12" ht="25.5">
      <c r="B39" s="7">
        <v>36</v>
      </c>
      <c r="C39" s="8" t="s">
        <v>93</v>
      </c>
      <c r="D39" s="9" t="s">
        <v>94</v>
      </c>
      <c r="E39" s="9" t="s">
        <v>95</v>
      </c>
      <c r="F39" s="10">
        <v>0.01</v>
      </c>
      <c r="G39" s="11">
        <v>1</v>
      </c>
      <c r="H39" s="12">
        <f>F39 * G39 * 187460</f>
        <v>1874.6000000000001</v>
      </c>
      <c r="I39" s="12">
        <f>F39 * G39 * 12357.452188</f>
        <v>123.57452187999999</v>
      </c>
      <c r="J39" s="12">
        <f t="shared" si="4"/>
        <v>0</v>
      </c>
      <c r="K39" s="12">
        <f>F39 * G39 * 58487.52</f>
        <v>584.87519999999995</v>
      </c>
      <c r="L39" s="13">
        <f t="shared" si="1"/>
        <v>2583.0497218800001</v>
      </c>
    </row>
    <row r="40" spans="2:12">
      <c r="B40" s="7">
        <v>37</v>
      </c>
      <c r="C40" s="8" t="s">
        <v>96</v>
      </c>
      <c r="D40" s="9" t="s">
        <v>97</v>
      </c>
      <c r="E40" s="9" t="s">
        <v>98</v>
      </c>
      <c r="F40" s="10">
        <v>0.01</v>
      </c>
      <c r="G40" s="11">
        <v>1</v>
      </c>
      <c r="H40" s="12">
        <f>F40 * G40 * 12163.84</f>
        <v>121.6384</v>
      </c>
      <c r="I40" s="12">
        <f>F40 * G40 * 13301.676695</f>
        <v>133.01676695</v>
      </c>
      <c r="J40" s="12">
        <f t="shared" si="4"/>
        <v>0</v>
      </c>
      <c r="K40" s="12">
        <f>F40 * G40 * 3795.11807999999</f>
        <v>37.951180799999904</v>
      </c>
      <c r="L40" s="13">
        <f t="shared" si="1"/>
        <v>292.60634774999994</v>
      </c>
    </row>
    <row r="41" spans="2:12">
      <c r="B41" s="7">
        <v>38</v>
      </c>
      <c r="C41" s="8" t="s">
        <v>99</v>
      </c>
      <c r="D41" s="9" t="s">
        <v>100</v>
      </c>
      <c r="E41" s="9" t="s">
        <v>98</v>
      </c>
      <c r="F41" s="10">
        <v>0.02</v>
      </c>
      <c r="G41" s="11">
        <v>2</v>
      </c>
      <c r="H41" s="12">
        <f>F41 * G41 * 12163.84</f>
        <v>486.55360000000002</v>
      </c>
      <c r="I41" s="12">
        <f>F41 * G41 * 19640.465625</f>
        <v>785.61862500000007</v>
      </c>
      <c r="J41" s="12">
        <f t="shared" si="4"/>
        <v>0</v>
      </c>
      <c r="K41" s="12">
        <f>F41 * G41 * 3795.11807999999</f>
        <v>151.80472319999961</v>
      </c>
      <c r="L41" s="13">
        <f t="shared" si="1"/>
        <v>1423.9769481999997</v>
      </c>
    </row>
    <row r="42" spans="2:12">
      <c r="B42" s="7">
        <v>39</v>
      </c>
      <c r="C42" s="8" t="s">
        <v>118</v>
      </c>
      <c r="D42" s="9" t="s">
        <v>119</v>
      </c>
      <c r="E42" s="9" t="s">
        <v>98</v>
      </c>
      <c r="F42" s="10">
        <v>0.02</v>
      </c>
      <c r="G42" s="11">
        <v>2</v>
      </c>
      <c r="H42" s="12">
        <f>F42 * G42 * 12163.84</f>
        <v>486.55360000000002</v>
      </c>
      <c r="I42" s="12">
        <f>F42 * G42 * 38755.688437</f>
        <v>1550.2275374799999</v>
      </c>
      <c r="J42" s="12">
        <f t="shared" si="4"/>
        <v>0</v>
      </c>
      <c r="K42" s="12">
        <f>F42 * G42 * 3795.11807999999</f>
        <v>151.80472319999961</v>
      </c>
      <c r="L42" s="13">
        <f t="shared" si="1"/>
        <v>2188.5858606799993</v>
      </c>
    </row>
    <row r="43" spans="2:12" ht="25.5">
      <c r="B43" s="7">
        <v>40</v>
      </c>
      <c r="C43" s="8" t="s">
        <v>101</v>
      </c>
      <c r="D43" s="9" t="s">
        <v>102</v>
      </c>
      <c r="E43" s="9" t="s">
        <v>103</v>
      </c>
      <c r="F43" s="10">
        <v>0.03</v>
      </c>
      <c r="G43" s="11">
        <v>3</v>
      </c>
      <c r="H43" s="12">
        <f>F43 * G43 * 25868.15</f>
        <v>2328.1334999999999</v>
      </c>
      <c r="I43" s="12">
        <f>F43 * G43 * 45657.39542</f>
        <v>4109.1655878000001</v>
      </c>
      <c r="J43" s="12">
        <f t="shared" si="4"/>
        <v>0</v>
      </c>
      <c r="K43" s="12">
        <f>F43 * G43 * 8070.8628</f>
        <v>726.37765200000001</v>
      </c>
      <c r="L43" s="13">
        <f t="shared" si="1"/>
        <v>7163.6767398000002</v>
      </c>
    </row>
    <row r="44" spans="2:12" ht="25.5">
      <c r="B44" s="14">
        <v>42</v>
      </c>
      <c r="C44" s="15" t="s">
        <v>104</v>
      </c>
      <c r="D44" s="16" t="s">
        <v>105</v>
      </c>
      <c r="E44" s="16" t="s">
        <v>106</v>
      </c>
      <c r="F44" s="17">
        <v>1</v>
      </c>
      <c r="G44" s="18">
        <v>1</v>
      </c>
      <c r="H44" s="19">
        <f>F44 * G44 * 134.957</f>
        <v>134.95699999999999</v>
      </c>
      <c r="I44" s="19">
        <f>F44 * G44 * 1261.0566</f>
        <v>1261.0565999999999</v>
      </c>
      <c r="J44" s="19">
        <f t="shared" si="4"/>
        <v>0</v>
      </c>
      <c r="K44" s="19">
        <f>F44 * G44 * 42.106584</f>
        <v>42.106583999999998</v>
      </c>
      <c r="L44" s="20">
        <f t="shared" si="1"/>
        <v>1438.1201839999999</v>
      </c>
    </row>
    <row r="45" spans="2:12" ht="15">
      <c r="B45" s="28" t="s">
        <v>26</v>
      </c>
      <c r="C45" s="28"/>
      <c r="D45" s="28"/>
      <c r="E45" s="28"/>
      <c r="F45" s="28"/>
      <c r="G45" s="28"/>
      <c r="H45" s="24">
        <f t="shared" ref="H45:L45" si="5">SUM(H4:H44)</f>
        <v>37450.32006096001</v>
      </c>
      <c r="I45" s="24">
        <f t="shared" si="5"/>
        <v>102398.31340655999</v>
      </c>
      <c r="J45" s="24">
        <f t="shared" si="5"/>
        <v>153.06044434999998</v>
      </c>
      <c r="K45" s="24">
        <f t="shared" si="5"/>
        <v>11695.778965829992</v>
      </c>
      <c r="L45" s="24">
        <f t="shared" si="5"/>
        <v>151697.47287769997</v>
      </c>
    </row>
  </sheetData>
  <mergeCells count="2">
    <mergeCell ref="B2:K3"/>
    <mergeCell ref="B45:G4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L46"/>
  <sheetViews>
    <sheetView workbookViewId="0">
      <selection activeCell="D58" sqref="D58"/>
    </sheetView>
  </sheetViews>
  <sheetFormatPr defaultRowHeight="15.75"/>
  <cols>
    <col min="1" max="1" width="1.28515625" customWidth="1"/>
    <col min="2" max="2" width="6" style="1" customWidth="1"/>
    <col min="3" max="3" width="13" style="2" customWidth="1"/>
    <col min="4" max="4" width="50" style="3" customWidth="1"/>
    <col min="5" max="5" width="20" style="3" customWidth="1"/>
    <col min="6" max="7" width="12" style="4" customWidth="1"/>
    <col min="8" max="9" width="14" style="5" customWidth="1"/>
    <col min="10" max="10" width="13" style="5" customWidth="1"/>
    <col min="11" max="11" width="14" style="5" customWidth="1"/>
    <col min="12" max="12" width="14.85546875" style="5" customWidth="1"/>
  </cols>
  <sheetData>
    <row r="1" spans="2:12" ht="36">
      <c r="B1" s="21" t="s">
        <v>1</v>
      </c>
      <c r="C1" s="22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3" t="s">
        <v>7</v>
      </c>
      <c r="I1" s="23" t="s">
        <v>8</v>
      </c>
      <c r="J1" s="23" t="s">
        <v>9</v>
      </c>
      <c r="K1" s="23" t="s">
        <v>10</v>
      </c>
      <c r="L1" s="23" t="s">
        <v>11</v>
      </c>
    </row>
    <row r="2" spans="2:12" thickBot="1">
      <c r="B2" s="29" t="s">
        <v>130</v>
      </c>
      <c r="C2" s="29"/>
      <c r="D2" s="29"/>
      <c r="E2" s="29"/>
      <c r="F2" s="29"/>
      <c r="G2" s="29"/>
      <c r="H2" s="29"/>
      <c r="I2" s="29"/>
      <c r="J2" s="29"/>
      <c r="K2" s="29"/>
      <c r="L2" s="25"/>
    </row>
    <row r="3" spans="2:12" ht="16.5" thickTop="1" thickBot="1">
      <c r="B3" s="30"/>
      <c r="C3" s="30"/>
      <c r="D3" s="30"/>
      <c r="E3" s="30"/>
      <c r="F3" s="30"/>
      <c r="G3" s="30"/>
      <c r="H3" s="30"/>
      <c r="I3" s="30"/>
      <c r="J3" s="30"/>
      <c r="K3" s="30"/>
      <c r="L3" s="26"/>
    </row>
    <row r="4" spans="2:12" ht="39" thickTop="1">
      <c r="B4" s="7">
        <v>1</v>
      </c>
      <c r="C4" s="8" t="s">
        <v>12</v>
      </c>
      <c r="D4" s="9" t="s">
        <v>13</v>
      </c>
      <c r="E4" s="9" t="s">
        <v>14</v>
      </c>
      <c r="F4" s="10">
        <v>0.08</v>
      </c>
      <c r="G4" s="11">
        <v>2</v>
      </c>
      <c r="H4" s="12">
        <f>F4 * G4 * 15639.52</f>
        <v>2502.3232000000003</v>
      </c>
      <c r="I4" s="12">
        <f>F4 * G4 * 21705.165506</f>
        <v>3472.8264809600005</v>
      </c>
      <c r="J4" s="12">
        <f t="shared" ref="J4:J5" si="0">F4 * G4 * 0</f>
        <v>0</v>
      </c>
      <c r="K4" s="12">
        <f>F4 * G4 * 4879.53024</f>
        <v>780.72483840000007</v>
      </c>
      <c r="L4" s="13">
        <f t="shared" ref="L4:L45" si="1">SUM(H4:K4)</f>
        <v>6755.8745193600016</v>
      </c>
    </row>
    <row r="5" spans="2:12" ht="38.25">
      <c r="B5" s="7">
        <v>2</v>
      </c>
      <c r="C5" s="8" t="s">
        <v>15</v>
      </c>
      <c r="D5" s="9" t="s">
        <v>16</v>
      </c>
      <c r="E5" s="9" t="s">
        <v>14</v>
      </c>
      <c r="F5" s="10">
        <v>0.08</v>
      </c>
      <c r="G5" s="11">
        <v>4</v>
      </c>
      <c r="H5" s="12">
        <f>F5 * G5 * 16576.82</f>
        <v>5304.5824000000002</v>
      </c>
      <c r="I5" s="12">
        <f>F5 * G5 * 34762.843598</f>
        <v>11124.10995136</v>
      </c>
      <c r="J5" s="12">
        <f t="shared" si="0"/>
        <v>0</v>
      </c>
      <c r="K5" s="12">
        <f>F5 * G5 * 5171.96784</f>
        <v>1655.0297088000002</v>
      </c>
      <c r="L5" s="13">
        <f t="shared" si="1"/>
        <v>18083.722060160002</v>
      </c>
    </row>
    <row r="6" spans="2:12">
      <c r="B6" s="7">
        <v>3</v>
      </c>
      <c r="C6" s="8" t="s">
        <v>27</v>
      </c>
      <c r="D6" s="9" t="s">
        <v>28</v>
      </c>
      <c r="E6" s="9" t="s">
        <v>29</v>
      </c>
      <c r="F6" s="10">
        <v>0.01</v>
      </c>
      <c r="G6" s="11">
        <v>1</v>
      </c>
      <c r="H6" s="12">
        <f>F6 * G6 * 3910.157507</f>
        <v>39.101575070000003</v>
      </c>
      <c r="I6" s="12">
        <f>F6 * G6 * 41845.140276</f>
        <v>418.45140276000001</v>
      </c>
      <c r="J6" s="12">
        <f>F6 * G6 * 204.802785</f>
        <v>2.04802785</v>
      </c>
      <c r="K6" s="12">
        <f>F6 * G6 * 1235.142821</f>
        <v>12.35142821</v>
      </c>
      <c r="L6" s="13">
        <f t="shared" si="1"/>
        <v>471.95243389000001</v>
      </c>
    </row>
    <row r="7" spans="2:12" ht="25.5">
      <c r="B7" s="7">
        <v>4</v>
      </c>
      <c r="C7" s="8" t="s">
        <v>30</v>
      </c>
      <c r="D7" s="9" t="s">
        <v>31</v>
      </c>
      <c r="E7" s="9" t="s">
        <v>32</v>
      </c>
      <c r="F7" s="10">
        <v>0.02</v>
      </c>
      <c r="G7" s="11">
        <v>2</v>
      </c>
      <c r="H7" s="12">
        <f>F7 * G7 * 7529.896158</f>
        <v>301.19584631999999</v>
      </c>
      <c r="I7" s="12">
        <f>F7 * G7 * 81375.866004</f>
        <v>3255.03464016</v>
      </c>
      <c r="J7" s="12">
        <f>F7 * G7 * 391.708823</f>
        <v>15.66835292</v>
      </c>
      <c r="K7" s="12">
        <f>F7 * G7 * 2376.640223</f>
        <v>95.065608920000003</v>
      </c>
      <c r="L7" s="13">
        <f t="shared" si="1"/>
        <v>3666.96444832</v>
      </c>
    </row>
    <row r="8" spans="2:12" ht="25.5">
      <c r="B8" s="7">
        <v>5</v>
      </c>
      <c r="C8" s="8" t="s">
        <v>18</v>
      </c>
      <c r="D8" s="9" t="s">
        <v>19</v>
      </c>
      <c r="E8" s="9" t="s">
        <v>17</v>
      </c>
      <c r="F8" s="10">
        <v>0.04</v>
      </c>
      <c r="G8" s="11">
        <v>4</v>
      </c>
      <c r="H8" s="12">
        <f>F8 * G8 * 13711.78</f>
        <v>2193.8848000000003</v>
      </c>
      <c r="I8" s="12">
        <f>F8 * G8 * 2871.662897</f>
        <v>459.46606352000003</v>
      </c>
      <c r="J8" s="12">
        <f>F8 * G8 * 0</f>
        <v>0</v>
      </c>
      <c r="K8" s="12">
        <f>F8 * G8 * 4278.07536</f>
        <v>684.49205759999995</v>
      </c>
      <c r="L8" s="13">
        <f t="shared" si="1"/>
        <v>3337.8429211200005</v>
      </c>
    </row>
    <row r="9" spans="2:12" ht="25.5">
      <c r="B9" s="7">
        <v>6</v>
      </c>
      <c r="C9" s="8" t="s">
        <v>20</v>
      </c>
      <c r="D9" s="9" t="s">
        <v>21</v>
      </c>
      <c r="E9" s="9" t="s">
        <v>22</v>
      </c>
      <c r="F9" s="10">
        <v>0.06</v>
      </c>
      <c r="G9" s="11">
        <v>6</v>
      </c>
      <c r="H9" s="12">
        <f>F9 * G9 * 2387.741</f>
        <v>859.58675999999991</v>
      </c>
      <c r="I9" s="12">
        <f>F9 * G9 * 756.000504</f>
        <v>272.16018143999997</v>
      </c>
      <c r="J9" s="12">
        <f t="shared" ref="J9:J10" si="2">F9 * G9 * 0</f>
        <v>0</v>
      </c>
      <c r="K9" s="12">
        <f>F9 * G9 * 744.975192</f>
        <v>268.19106912000001</v>
      </c>
      <c r="L9" s="13">
        <f t="shared" si="1"/>
        <v>1399.9380105599998</v>
      </c>
    </row>
    <row r="10" spans="2:12" ht="25.5">
      <c r="B10" s="7">
        <v>7</v>
      </c>
      <c r="C10" s="8" t="s">
        <v>23</v>
      </c>
      <c r="D10" s="9" t="s">
        <v>24</v>
      </c>
      <c r="E10" s="9" t="s">
        <v>25</v>
      </c>
      <c r="F10" s="10">
        <v>0.03</v>
      </c>
      <c r="G10" s="11">
        <v>3</v>
      </c>
      <c r="H10" s="12">
        <f>F10 * G10 * 7328.71</f>
        <v>659.58389999999997</v>
      </c>
      <c r="I10" s="12">
        <f>F10 * G10 * 110433.355</f>
        <v>9939.0019499999999</v>
      </c>
      <c r="J10" s="12">
        <f t="shared" si="2"/>
        <v>0</v>
      </c>
      <c r="K10" s="12">
        <f>F10 * G10 * 2286.55752</f>
        <v>205.79017679999998</v>
      </c>
      <c r="L10" s="13">
        <f t="shared" si="1"/>
        <v>10804.376026799999</v>
      </c>
    </row>
    <row r="11" spans="2:12">
      <c r="B11" s="7">
        <v>8</v>
      </c>
      <c r="C11" s="8" t="s">
        <v>27</v>
      </c>
      <c r="D11" s="9" t="s">
        <v>28</v>
      </c>
      <c r="E11" s="9" t="s">
        <v>29</v>
      </c>
      <c r="F11" s="10">
        <v>0.02</v>
      </c>
      <c r="G11" s="11">
        <v>2</v>
      </c>
      <c r="H11" s="12">
        <f>F11 * G11 * 3910.157507</f>
        <v>156.40630028000001</v>
      </c>
      <c r="I11" s="12">
        <f>F11 * G11 * 41845.140276</f>
        <v>1673.80561104</v>
      </c>
      <c r="J11" s="12">
        <f>F11 * G11 * 204.802785</f>
        <v>8.1921113999999999</v>
      </c>
      <c r="K11" s="12">
        <f>F11 * G11 * 1235.142821</f>
        <v>49.40571284</v>
      </c>
      <c r="L11" s="13">
        <f t="shared" si="1"/>
        <v>1887.80973556</v>
      </c>
    </row>
    <row r="12" spans="2:12" ht="25.5">
      <c r="B12" s="7">
        <v>9</v>
      </c>
      <c r="C12" s="8" t="s">
        <v>30</v>
      </c>
      <c r="D12" s="9" t="s">
        <v>31</v>
      </c>
      <c r="E12" s="9" t="s">
        <v>32</v>
      </c>
      <c r="F12" s="10">
        <v>0.03</v>
      </c>
      <c r="G12" s="11">
        <v>3</v>
      </c>
      <c r="H12" s="12">
        <f>F12 * G12 * 7529.896158</f>
        <v>677.69065421999994</v>
      </c>
      <c r="I12" s="12">
        <f>F12 * G12 * 81375.866004</f>
        <v>7323.827940359999</v>
      </c>
      <c r="J12" s="12">
        <f>F12 * G12 * 391.708823</f>
        <v>35.253794069999998</v>
      </c>
      <c r="K12" s="12">
        <f>F12 * G12 * 2376.640223</f>
        <v>213.89762006999999</v>
      </c>
      <c r="L12" s="13">
        <f t="shared" si="1"/>
        <v>8250.6700087199988</v>
      </c>
    </row>
    <row r="13" spans="2:12" ht="25.5">
      <c r="B13" s="7">
        <v>10</v>
      </c>
      <c r="C13" s="8" t="s">
        <v>33</v>
      </c>
      <c r="D13" s="9" t="s">
        <v>34</v>
      </c>
      <c r="E13" s="9" t="s">
        <v>29</v>
      </c>
      <c r="F13" s="10">
        <v>0.02</v>
      </c>
      <c r="G13" s="11">
        <v>2</v>
      </c>
      <c r="H13" s="12">
        <f>F13 * G13 * 2289.63494</f>
        <v>91.585397599999993</v>
      </c>
      <c r="I13" s="12">
        <f>F13 * G13 * 8888.9847</f>
        <v>355.55938800000007</v>
      </c>
      <c r="J13" s="12">
        <f>F13 * G13 * 225.070527</f>
        <v>9.0028210800000004</v>
      </c>
      <c r="K13" s="12">
        <f>F13 * G13 * 737.632408</f>
        <v>29.505296320000003</v>
      </c>
      <c r="L13" s="13">
        <f t="shared" si="1"/>
        <v>485.65290300000009</v>
      </c>
    </row>
    <row r="14" spans="2:12" ht="25.5">
      <c r="B14" s="7">
        <v>11</v>
      </c>
      <c r="C14" s="8" t="s">
        <v>110</v>
      </c>
      <c r="D14" s="9" t="s">
        <v>111</v>
      </c>
      <c r="E14" s="9" t="s">
        <v>112</v>
      </c>
      <c r="F14" s="10">
        <v>1</v>
      </c>
      <c r="G14" s="11">
        <v>1</v>
      </c>
      <c r="H14" s="12">
        <f>F14 * G14 * 1440.234</f>
        <v>1440.2339999999999</v>
      </c>
      <c r="I14" s="12">
        <f>F14 * G14 * 373.563353</f>
        <v>373.56335300000001</v>
      </c>
      <c r="J14" s="12">
        <f t="shared" ref="J14:J19" si="3">F14 * G14 * 0</f>
        <v>0</v>
      </c>
      <c r="K14" s="12">
        <f>F14 * G14 * 449.353008</f>
        <v>449.35300799999999</v>
      </c>
      <c r="L14" s="13">
        <f t="shared" si="1"/>
        <v>2263.150361</v>
      </c>
    </row>
    <row r="15" spans="2:12">
      <c r="B15" s="7">
        <v>12</v>
      </c>
      <c r="C15" s="8" t="s">
        <v>113</v>
      </c>
      <c r="D15" s="9" t="s">
        <v>114</v>
      </c>
      <c r="E15" s="9" t="s">
        <v>115</v>
      </c>
      <c r="F15" s="10">
        <v>0</v>
      </c>
      <c r="G15" s="11">
        <v>0</v>
      </c>
      <c r="H15" s="12">
        <f>F15 * G15 * 14.1846</f>
        <v>0</v>
      </c>
      <c r="I15" s="12">
        <f>F15 * G15 * 1.533433</f>
        <v>0</v>
      </c>
      <c r="J15" s="12">
        <f t="shared" si="3"/>
        <v>0</v>
      </c>
      <c r="K15" s="12">
        <f>F15 * G15 * 4.425595</f>
        <v>0</v>
      </c>
      <c r="L15" s="13">
        <f t="shared" si="1"/>
        <v>0</v>
      </c>
    </row>
    <row r="16" spans="2:12">
      <c r="B16" s="7">
        <v>13</v>
      </c>
      <c r="C16" s="8" t="s">
        <v>35</v>
      </c>
      <c r="D16" s="9" t="s">
        <v>36</v>
      </c>
      <c r="E16" s="9" t="s">
        <v>37</v>
      </c>
      <c r="F16" s="10">
        <v>2</v>
      </c>
      <c r="G16" s="11">
        <v>2</v>
      </c>
      <c r="H16" s="12">
        <f>F16 * G16 * 125.3537</f>
        <v>501.41480000000001</v>
      </c>
      <c r="I16" s="12">
        <f>F16 * G16 * 68.385752</f>
        <v>273.54300799999999</v>
      </c>
      <c r="J16" s="12">
        <f t="shared" si="3"/>
        <v>0</v>
      </c>
      <c r="K16" s="12">
        <f>F16 * G16 * 39.110354</f>
        <v>156.441416</v>
      </c>
      <c r="L16" s="13">
        <f t="shared" si="1"/>
        <v>931.399224</v>
      </c>
    </row>
    <row r="17" spans="2:12">
      <c r="B17" s="7">
        <v>14</v>
      </c>
      <c r="C17" s="8" t="s">
        <v>38</v>
      </c>
      <c r="D17" s="9" t="s">
        <v>39</v>
      </c>
      <c r="E17" s="9" t="s">
        <v>40</v>
      </c>
      <c r="F17" s="10">
        <v>1</v>
      </c>
      <c r="G17" s="11">
        <v>1</v>
      </c>
      <c r="H17" s="12">
        <f>F17 * G17 * 35.4615</f>
        <v>35.461500000000001</v>
      </c>
      <c r="I17" s="12">
        <f>F17 * G17 * 158.431504</f>
        <v>158.43150399999999</v>
      </c>
      <c r="J17" s="12">
        <f t="shared" si="3"/>
        <v>0</v>
      </c>
      <c r="K17" s="12">
        <f>F17 * G17 * 11.063988</f>
        <v>11.063988</v>
      </c>
      <c r="L17" s="13">
        <f t="shared" si="1"/>
        <v>204.95699199999999</v>
      </c>
    </row>
    <row r="18" spans="2:12">
      <c r="B18" s="7">
        <v>15</v>
      </c>
      <c r="C18" s="8" t="s">
        <v>41</v>
      </c>
      <c r="D18" s="9" t="s">
        <v>42</v>
      </c>
      <c r="E18" s="9" t="s">
        <v>43</v>
      </c>
      <c r="F18" s="10">
        <v>0.01</v>
      </c>
      <c r="G18" s="11">
        <v>1</v>
      </c>
      <c r="H18" s="12">
        <f>F18 * G18 * 25248.588</f>
        <v>252.48588000000001</v>
      </c>
      <c r="I18" s="12">
        <f>F18 * G18 * 65571.509155</f>
        <v>655.71509155000012</v>
      </c>
      <c r="J18" s="12">
        <f t="shared" si="3"/>
        <v>0</v>
      </c>
      <c r="K18" s="12">
        <f>F18 * G18 * 7877.559456</f>
        <v>78.775594560000002</v>
      </c>
      <c r="L18" s="13">
        <f t="shared" si="1"/>
        <v>986.97656611000002</v>
      </c>
    </row>
    <row r="19" spans="2:12">
      <c r="B19" s="7">
        <v>16</v>
      </c>
      <c r="C19" s="8" t="s">
        <v>120</v>
      </c>
      <c r="D19" s="9" t="s">
        <v>121</v>
      </c>
      <c r="E19" s="9" t="s">
        <v>43</v>
      </c>
      <c r="F19" s="10">
        <v>0.01</v>
      </c>
      <c r="G19" s="11">
        <v>1</v>
      </c>
      <c r="H19" s="12">
        <f>F19 * G19 * 17305.212</f>
        <v>173.05212</v>
      </c>
      <c r="I19" s="12">
        <f>F19 * G19 * 69099.634507</f>
        <v>690.99634506999996</v>
      </c>
      <c r="J19" s="12">
        <f t="shared" si="3"/>
        <v>0</v>
      </c>
      <c r="K19" s="12">
        <f>F19 * G19 * 5399.226144</f>
        <v>53.99226144</v>
      </c>
      <c r="L19" s="13">
        <f t="shared" si="1"/>
        <v>918.04072651000001</v>
      </c>
    </row>
    <row r="20" spans="2:12">
      <c r="B20" s="7">
        <v>17</v>
      </c>
      <c r="C20" s="8" t="s">
        <v>44</v>
      </c>
      <c r="D20" s="9" t="s">
        <v>45</v>
      </c>
      <c r="E20" s="9" t="s">
        <v>46</v>
      </c>
      <c r="F20" s="10">
        <v>0.02</v>
      </c>
      <c r="G20" s="11">
        <v>2</v>
      </c>
      <c r="H20" s="12">
        <f>F20 * G20 * 47282</f>
        <v>1891.28</v>
      </c>
      <c r="I20" s="12">
        <f>F20 * G20 * 76576.12775</f>
        <v>3063.04511</v>
      </c>
      <c r="J20" s="12">
        <f>F20 * G20 * 0</f>
        <v>0</v>
      </c>
      <c r="K20" s="12">
        <f>F20 * G20 * 14751.984</f>
        <v>590.07936000000007</v>
      </c>
      <c r="L20" s="13">
        <f t="shared" si="1"/>
        <v>5544.4044699999995</v>
      </c>
    </row>
    <row r="21" spans="2:12">
      <c r="B21" s="7">
        <v>18</v>
      </c>
      <c r="C21" s="8" t="s">
        <v>47</v>
      </c>
      <c r="D21" s="9" t="s">
        <v>48</v>
      </c>
      <c r="E21" s="9" t="s">
        <v>49</v>
      </c>
      <c r="F21" s="10">
        <v>2</v>
      </c>
      <c r="G21" s="11">
        <v>2</v>
      </c>
      <c r="H21" s="12">
        <f>F21 * G21 * 44.9179</f>
        <v>179.67160000000001</v>
      </c>
      <c r="I21" s="12">
        <f>F21 * G21 * 44.1864</f>
        <v>176.7456</v>
      </c>
      <c r="J21" s="12">
        <f t="shared" ref="J21:J45" si="4">F21 * G21 * 0</f>
        <v>0</v>
      </c>
      <c r="K21" s="12">
        <f>F21 * G21 * 14.014385</f>
        <v>56.057540000000003</v>
      </c>
      <c r="L21" s="13">
        <f t="shared" si="1"/>
        <v>412.47474</v>
      </c>
    </row>
    <row r="22" spans="2:12" ht="25.5">
      <c r="B22" s="7">
        <v>19</v>
      </c>
      <c r="C22" s="8" t="s">
        <v>50</v>
      </c>
      <c r="D22" s="9" t="s">
        <v>51</v>
      </c>
      <c r="E22" s="9" t="s">
        <v>52</v>
      </c>
      <c r="F22" s="10">
        <v>4</v>
      </c>
      <c r="G22" s="11">
        <v>4</v>
      </c>
      <c r="H22" s="12">
        <f>F22 * G22 * 237.81681</f>
        <v>3805.0689600000001</v>
      </c>
      <c r="I22" s="12">
        <f>F22 * G22 * 479.105858</f>
        <v>7665.6937280000002</v>
      </c>
      <c r="J22" s="12">
        <f t="shared" si="4"/>
        <v>0</v>
      </c>
      <c r="K22" s="12">
        <f>F22 * G22 * 74.198845</f>
        <v>1187.1815200000001</v>
      </c>
      <c r="L22" s="13">
        <f t="shared" si="1"/>
        <v>12657.944208000001</v>
      </c>
    </row>
    <row r="23" spans="2:12" ht="25.5">
      <c r="B23" s="7">
        <v>20</v>
      </c>
      <c r="C23" s="8" t="s">
        <v>53</v>
      </c>
      <c r="D23" s="9" t="s">
        <v>54</v>
      </c>
      <c r="E23" s="9" t="s">
        <v>52</v>
      </c>
      <c r="F23" s="10">
        <v>5</v>
      </c>
      <c r="G23" s="11">
        <v>5</v>
      </c>
      <c r="H23" s="12">
        <f>F23 * G23 * 37.8256</f>
        <v>945.64</v>
      </c>
      <c r="I23" s="12">
        <f>F23 * G23 * 43.9812</f>
        <v>1099.53</v>
      </c>
      <c r="J23" s="12">
        <f t="shared" si="4"/>
        <v>0</v>
      </c>
      <c r="K23" s="12">
        <f>F23 * G23 * 11.801587</f>
        <v>295.03967499999999</v>
      </c>
      <c r="L23" s="13">
        <f t="shared" si="1"/>
        <v>2340.2096750000001</v>
      </c>
    </row>
    <row r="24" spans="2:12">
      <c r="B24" s="7">
        <v>21</v>
      </c>
      <c r="C24" s="8" t="s">
        <v>55</v>
      </c>
      <c r="D24" s="9" t="s">
        <v>56</v>
      </c>
      <c r="E24" s="9" t="s">
        <v>57</v>
      </c>
      <c r="F24" s="10">
        <v>5</v>
      </c>
      <c r="G24" s="11">
        <v>5</v>
      </c>
      <c r="H24" s="12">
        <f>F24 * G24 * 22.45895</f>
        <v>561.47375</v>
      </c>
      <c r="I24" s="12">
        <f>F24 * G24 * 141.0294</f>
        <v>3525.7350000000001</v>
      </c>
      <c r="J24" s="12">
        <f t="shared" si="4"/>
        <v>0</v>
      </c>
      <c r="K24" s="12">
        <f>F24 * G24 * 7.007193</f>
        <v>175.17982499999999</v>
      </c>
      <c r="L24" s="13">
        <f t="shared" si="1"/>
        <v>4262.3885749999999</v>
      </c>
    </row>
    <row r="25" spans="2:12" ht="38.25">
      <c r="B25" s="7">
        <v>22</v>
      </c>
      <c r="C25" s="8" t="s">
        <v>58</v>
      </c>
      <c r="D25" s="9" t="s">
        <v>59</v>
      </c>
      <c r="E25" s="9" t="s">
        <v>14</v>
      </c>
      <c r="F25" s="10">
        <v>0.05</v>
      </c>
      <c r="G25" s="11">
        <v>3</v>
      </c>
      <c r="H25" s="12">
        <f>F25 * G25 * 17618.977</f>
        <v>2642.8465500000002</v>
      </c>
      <c r="I25" s="12">
        <f>F25 * G25 * 18074.952694</f>
        <v>2711.2429041000005</v>
      </c>
      <c r="J25" s="12">
        <f t="shared" si="4"/>
        <v>0</v>
      </c>
      <c r="K25" s="12">
        <f>F25 * G25 * 5497.120824</f>
        <v>824.56812360000004</v>
      </c>
      <c r="L25" s="13">
        <f t="shared" si="1"/>
        <v>6178.6575777000007</v>
      </c>
    </row>
    <row r="26" spans="2:12" ht="38.25">
      <c r="B26" s="7">
        <v>23</v>
      </c>
      <c r="C26" s="8" t="s">
        <v>60</v>
      </c>
      <c r="D26" s="9" t="s">
        <v>61</v>
      </c>
      <c r="E26" s="9" t="s">
        <v>14</v>
      </c>
      <c r="F26" s="10">
        <v>0.05</v>
      </c>
      <c r="G26" s="11">
        <v>3</v>
      </c>
      <c r="H26" s="12">
        <f>F26 * G26 * 19453.3435</f>
        <v>2918.0015250000001</v>
      </c>
      <c r="I26" s="12">
        <f>F26 * G26 * 25367.354534</f>
        <v>3805.1031801000004</v>
      </c>
      <c r="J26" s="12">
        <f t="shared" si="4"/>
        <v>0</v>
      </c>
      <c r="K26" s="12">
        <f>F26 * G26 * 6069.443172</f>
        <v>910.41647580000017</v>
      </c>
      <c r="L26" s="13">
        <f t="shared" si="1"/>
        <v>7633.5211809000011</v>
      </c>
    </row>
    <row r="27" spans="2:12">
      <c r="B27" s="7">
        <v>24</v>
      </c>
      <c r="C27" s="8" t="s">
        <v>62</v>
      </c>
      <c r="D27" s="9" t="s">
        <v>63</v>
      </c>
      <c r="E27" s="9" t="s">
        <v>64</v>
      </c>
      <c r="F27" s="10">
        <v>0.03</v>
      </c>
      <c r="G27" s="11">
        <v>3</v>
      </c>
      <c r="H27" s="12">
        <f>F27 * G27 * 6713.504</f>
        <v>604.21535999999992</v>
      </c>
      <c r="I27" s="12">
        <f>F27 * G27 * 6955.135292</f>
        <v>625.96217627999999</v>
      </c>
      <c r="J27" s="12">
        <f t="shared" si="4"/>
        <v>0</v>
      </c>
      <c r="K27" s="12">
        <f>F27 * G27 * 2094.613248</f>
        <v>188.51519232000001</v>
      </c>
      <c r="L27" s="13">
        <f t="shared" si="1"/>
        <v>1418.6927286</v>
      </c>
    </row>
    <row r="28" spans="2:12" ht="25.5">
      <c r="B28" s="7">
        <v>25</v>
      </c>
      <c r="C28" s="8" t="s">
        <v>65</v>
      </c>
      <c r="D28" s="9" t="s">
        <v>66</v>
      </c>
      <c r="E28" s="9" t="s">
        <v>67</v>
      </c>
      <c r="F28" s="10">
        <v>4</v>
      </c>
      <c r="G28" s="11">
        <v>4</v>
      </c>
      <c r="H28" s="12">
        <f>F28 * G28 * 30.7333</f>
        <v>491.7328</v>
      </c>
      <c r="I28" s="12">
        <f>F28 * G28 * 6.05454</f>
        <v>96.872640000000004</v>
      </c>
      <c r="J28" s="12">
        <f t="shared" si="4"/>
        <v>0</v>
      </c>
      <c r="K28" s="12">
        <f>F28 * G28 * 9.58879</f>
        <v>153.42063999999999</v>
      </c>
      <c r="L28" s="13">
        <f t="shared" si="1"/>
        <v>742.02608000000009</v>
      </c>
    </row>
    <row r="29" spans="2:12" ht="25.5">
      <c r="B29" s="7">
        <v>26</v>
      </c>
      <c r="C29" s="8" t="s">
        <v>68</v>
      </c>
      <c r="D29" s="9" t="s">
        <v>69</v>
      </c>
      <c r="E29" s="9" t="s">
        <v>70</v>
      </c>
      <c r="F29" s="10">
        <v>1</v>
      </c>
      <c r="G29" s="11">
        <v>1</v>
      </c>
      <c r="H29" s="12">
        <f>F29 * G29 * 4122.7215</f>
        <v>4122.7214999999997</v>
      </c>
      <c r="I29" s="12">
        <f>F29 * G29 * 0</f>
        <v>0</v>
      </c>
      <c r="J29" s="12">
        <f t="shared" si="4"/>
        <v>0</v>
      </c>
      <c r="K29" s="12">
        <f>F29 * G29 * 1286.289108</f>
        <v>1286.2891079999999</v>
      </c>
      <c r="L29" s="13">
        <f t="shared" si="1"/>
        <v>5409.0106079999996</v>
      </c>
    </row>
    <row r="30" spans="2:12" ht="25.5">
      <c r="B30" s="7">
        <v>27</v>
      </c>
      <c r="C30" s="8" t="s">
        <v>71</v>
      </c>
      <c r="D30" s="9" t="s">
        <v>72</v>
      </c>
      <c r="E30" s="9" t="s">
        <v>73</v>
      </c>
      <c r="F30" s="10">
        <v>0.02</v>
      </c>
      <c r="G30" s="11">
        <v>2</v>
      </c>
      <c r="H30" s="12">
        <f>F30 * G30 * 17320.196583</f>
        <v>692.80786332000002</v>
      </c>
      <c r="I30" s="12">
        <f>F30 * G30 * 323569.609729</f>
        <v>12942.784389160001</v>
      </c>
      <c r="J30" s="12">
        <f t="shared" si="4"/>
        <v>0</v>
      </c>
      <c r="K30" s="12">
        <f>F30 * G30 * 5403.90133399999</f>
        <v>216.15605335999962</v>
      </c>
      <c r="L30" s="13">
        <f t="shared" si="1"/>
        <v>13851.748305840001</v>
      </c>
    </row>
    <row r="31" spans="2:12" ht="25.5">
      <c r="B31" s="7">
        <v>28</v>
      </c>
      <c r="C31" s="8" t="s">
        <v>74</v>
      </c>
      <c r="D31" s="9" t="s">
        <v>75</v>
      </c>
      <c r="E31" s="9" t="s">
        <v>76</v>
      </c>
      <c r="F31" s="10">
        <v>0.02</v>
      </c>
      <c r="G31" s="11">
        <v>2</v>
      </c>
      <c r="H31" s="12">
        <f>F31 * G31 * 19048.365</f>
        <v>761.93460000000005</v>
      </c>
      <c r="I31" s="12">
        <f>F31 * G31 * 17188.559066</f>
        <v>687.54236264000008</v>
      </c>
      <c r="J31" s="12">
        <f t="shared" si="4"/>
        <v>0</v>
      </c>
      <c r="K31" s="12">
        <f>F31 * G31 * 5943.08988</f>
        <v>237.72359520000003</v>
      </c>
      <c r="L31" s="13">
        <f t="shared" si="1"/>
        <v>1687.2005578400003</v>
      </c>
    </row>
    <row r="32" spans="2:12" ht="25.5">
      <c r="B32" s="7">
        <v>29</v>
      </c>
      <c r="C32" s="8" t="s">
        <v>116</v>
      </c>
      <c r="D32" s="9" t="s">
        <v>117</v>
      </c>
      <c r="E32" s="9" t="s">
        <v>76</v>
      </c>
      <c r="F32" s="10">
        <v>0.02</v>
      </c>
      <c r="G32" s="11">
        <v>2</v>
      </c>
      <c r="H32" s="12">
        <f>F32 * G32 * 24221.995</f>
        <v>968.87979999999993</v>
      </c>
      <c r="I32" s="12">
        <f>F32 * G32 * 37397.213283</f>
        <v>1495.8885313199999</v>
      </c>
      <c r="J32" s="12">
        <f t="shared" si="4"/>
        <v>0</v>
      </c>
      <c r="K32" s="12">
        <f>F32 * G32 * 7557.26243999999</f>
        <v>302.29049759999964</v>
      </c>
      <c r="L32" s="13">
        <f t="shared" si="1"/>
        <v>2767.0588289199991</v>
      </c>
    </row>
    <row r="33" spans="2:12" ht="38.25">
      <c r="B33" s="7">
        <v>30</v>
      </c>
      <c r="C33" s="8" t="s">
        <v>77</v>
      </c>
      <c r="D33" s="9" t="s">
        <v>78</v>
      </c>
      <c r="E33" s="9" t="s">
        <v>79</v>
      </c>
      <c r="F33" s="10">
        <v>0.04</v>
      </c>
      <c r="G33" s="11">
        <v>4</v>
      </c>
      <c r="H33" s="12">
        <f>F33 * G33 * 19260.309046</f>
        <v>3081.6494473599996</v>
      </c>
      <c r="I33" s="12">
        <f>F33 * G33 * 13074.274888</f>
        <v>2091.8839820799999</v>
      </c>
      <c r="J33" s="12">
        <f t="shared" si="4"/>
        <v>0</v>
      </c>
      <c r="K33" s="12">
        <f>F33 * G33 * 6009.21642199999</f>
        <v>961.47462751999853</v>
      </c>
      <c r="L33" s="13">
        <f t="shared" si="1"/>
        <v>6135.0080569599986</v>
      </c>
    </row>
    <row r="34" spans="2:12" ht="38.25">
      <c r="B34" s="7">
        <v>31</v>
      </c>
      <c r="C34" s="8" t="s">
        <v>80</v>
      </c>
      <c r="D34" s="9" t="s">
        <v>81</v>
      </c>
      <c r="E34" s="9" t="s">
        <v>79</v>
      </c>
      <c r="F34" s="10">
        <v>0.04</v>
      </c>
      <c r="G34" s="11">
        <v>2</v>
      </c>
      <c r="H34" s="12">
        <f>F34 * G34 * 20223.3245</f>
        <v>1617.8659599999999</v>
      </c>
      <c r="I34" s="12">
        <f>F34 * G34 * 15834.564328</f>
        <v>1266.7651462400001</v>
      </c>
      <c r="J34" s="12">
        <f t="shared" si="4"/>
        <v>0</v>
      </c>
      <c r="K34" s="12">
        <f>F34 * G34 * 6309.677244</f>
        <v>504.77417952000002</v>
      </c>
      <c r="L34" s="13">
        <f t="shared" si="1"/>
        <v>3389.40528576</v>
      </c>
    </row>
    <row r="35" spans="2:12" ht="25.5">
      <c r="B35" s="7">
        <v>32</v>
      </c>
      <c r="C35" s="8" t="s">
        <v>82</v>
      </c>
      <c r="D35" s="9" t="s">
        <v>83</v>
      </c>
      <c r="E35" s="9" t="s">
        <v>84</v>
      </c>
      <c r="F35" s="10">
        <v>0.02</v>
      </c>
      <c r="G35" s="11">
        <v>2</v>
      </c>
      <c r="H35" s="12">
        <f>F35 * G35 * 68937.156</f>
        <v>2757.4862400000002</v>
      </c>
      <c r="I35" s="12">
        <f>F35 * G35 * 2140.763458</f>
        <v>85.630538319999999</v>
      </c>
      <c r="J35" s="12">
        <f t="shared" si="4"/>
        <v>0</v>
      </c>
      <c r="K35" s="12">
        <f>F35 * G35 * 21508.3926719999</f>
        <v>860.335706879996</v>
      </c>
      <c r="L35" s="13">
        <f t="shared" si="1"/>
        <v>3703.4524851999963</v>
      </c>
    </row>
    <row r="36" spans="2:12" ht="25.5">
      <c r="B36" s="7">
        <v>33</v>
      </c>
      <c r="C36" s="8" t="s">
        <v>85</v>
      </c>
      <c r="D36" s="9" t="s">
        <v>86</v>
      </c>
      <c r="E36" s="9" t="s">
        <v>84</v>
      </c>
      <c r="F36" s="10">
        <v>0.02</v>
      </c>
      <c r="G36" s="11">
        <v>2</v>
      </c>
      <c r="H36" s="12">
        <f>F36 * G36 * 52506.661</f>
        <v>2100.2664399999999</v>
      </c>
      <c r="I36" s="12">
        <f>F36 * G36 * 13384.689778</f>
        <v>535.38759112000002</v>
      </c>
      <c r="J36" s="12">
        <f t="shared" si="4"/>
        <v>0</v>
      </c>
      <c r="K36" s="12">
        <f>F36 * G36 * 16382.078232</f>
        <v>655.28312928000003</v>
      </c>
      <c r="L36" s="13">
        <f t="shared" si="1"/>
        <v>3290.9371603999998</v>
      </c>
    </row>
    <row r="37" spans="2:12">
      <c r="B37" s="7">
        <v>34</v>
      </c>
      <c r="C37" s="8" t="s">
        <v>87</v>
      </c>
      <c r="D37" s="9" t="s">
        <v>88</v>
      </c>
      <c r="E37" s="9" t="s">
        <v>89</v>
      </c>
      <c r="F37" s="10">
        <v>1</v>
      </c>
      <c r="G37" s="11">
        <v>1</v>
      </c>
      <c r="H37" s="12">
        <f>F37 * G37 * 1443.060826</f>
        <v>1443.0608259999999</v>
      </c>
      <c r="I37" s="12">
        <f>F37 * G37 * 9459.733517</f>
        <v>9459.7335170000006</v>
      </c>
      <c r="J37" s="12">
        <f t="shared" si="4"/>
        <v>0</v>
      </c>
      <c r="K37" s="12">
        <f>F37 * G37 * 450.234977</f>
        <v>450.23497700000001</v>
      </c>
      <c r="L37" s="13">
        <f t="shared" si="1"/>
        <v>11353.029320000001</v>
      </c>
    </row>
    <row r="38" spans="2:12" ht="25.5">
      <c r="B38" s="7">
        <v>35</v>
      </c>
      <c r="C38" s="8" t="s">
        <v>90</v>
      </c>
      <c r="D38" s="9" t="s">
        <v>91</v>
      </c>
      <c r="E38" s="9" t="s">
        <v>92</v>
      </c>
      <c r="F38" s="10">
        <v>0.2</v>
      </c>
      <c r="G38" s="11">
        <v>1</v>
      </c>
      <c r="H38" s="12">
        <f>F38 * G38 * 482.866087</f>
        <v>96.573217400000004</v>
      </c>
      <c r="I38" s="12">
        <f>F38 * G38 * 2138.058412</f>
        <v>427.61168240000001</v>
      </c>
      <c r="J38" s="12">
        <f t="shared" si="4"/>
        <v>0</v>
      </c>
      <c r="K38" s="12">
        <f>F38 * G38 * 150.654219</f>
        <v>30.130843800000005</v>
      </c>
      <c r="L38" s="13">
        <f t="shared" si="1"/>
        <v>554.31574360000002</v>
      </c>
    </row>
    <row r="39" spans="2:12" ht="25.5">
      <c r="B39" s="7">
        <v>36</v>
      </c>
      <c r="C39" s="8" t="s">
        <v>93</v>
      </c>
      <c r="D39" s="9" t="s">
        <v>94</v>
      </c>
      <c r="E39" s="9" t="s">
        <v>95</v>
      </c>
      <c r="F39" s="10">
        <v>0.01</v>
      </c>
      <c r="G39" s="11">
        <v>1</v>
      </c>
      <c r="H39" s="12">
        <f>F39 * G39 * 187460</f>
        <v>1874.6000000000001</v>
      </c>
      <c r="I39" s="12">
        <f>F39 * G39 * 12357.452188</f>
        <v>123.57452187999999</v>
      </c>
      <c r="J39" s="12">
        <f t="shared" si="4"/>
        <v>0</v>
      </c>
      <c r="K39" s="12">
        <f>F39 * G39 * 58487.52</f>
        <v>584.87519999999995</v>
      </c>
      <c r="L39" s="13">
        <f t="shared" si="1"/>
        <v>2583.0497218800001</v>
      </c>
    </row>
    <row r="40" spans="2:12">
      <c r="B40" s="7">
        <v>37</v>
      </c>
      <c r="C40" s="8" t="s">
        <v>96</v>
      </c>
      <c r="D40" s="9" t="s">
        <v>97</v>
      </c>
      <c r="E40" s="9" t="s">
        <v>98</v>
      </c>
      <c r="F40" s="10">
        <v>0.02</v>
      </c>
      <c r="G40" s="11">
        <v>2</v>
      </c>
      <c r="H40" s="12">
        <f>F40 * G40 * 12163.84</f>
        <v>486.55360000000002</v>
      </c>
      <c r="I40" s="12">
        <f>F40 * G40 * 13301.676695</f>
        <v>532.06706780000002</v>
      </c>
      <c r="J40" s="12">
        <f t="shared" si="4"/>
        <v>0</v>
      </c>
      <c r="K40" s="12">
        <f>F40 * G40 * 3795.11807999999</f>
        <v>151.80472319999961</v>
      </c>
      <c r="L40" s="13">
        <f t="shared" si="1"/>
        <v>1170.4253909999998</v>
      </c>
    </row>
    <row r="41" spans="2:12">
      <c r="B41" s="7">
        <v>38</v>
      </c>
      <c r="C41" s="8" t="s">
        <v>99</v>
      </c>
      <c r="D41" s="9" t="s">
        <v>100</v>
      </c>
      <c r="E41" s="9" t="s">
        <v>98</v>
      </c>
      <c r="F41" s="10">
        <v>0.02</v>
      </c>
      <c r="G41" s="11">
        <v>2</v>
      </c>
      <c r="H41" s="12">
        <f>F41 * G41 * 12163.84</f>
        <v>486.55360000000002</v>
      </c>
      <c r="I41" s="12">
        <f>F41 * G41 * 19640.465625</f>
        <v>785.61862500000007</v>
      </c>
      <c r="J41" s="12">
        <f t="shared" si="4"/>
        <v>0</v>
      </c>
      <c r="K41" s="12">
        <f>F41 * G41 * 3795.11807999999</f>
        <v>151.80472319999961</v>
      </c>
      <c r="L41" s="13">
        <f t="shared" si="1"/>
        <v>1423.9769481999997</v>
      </c>
    </row>
    <row r="42" spans="2:12">
      <c r="B42" s="7">
        <v>39</v>
      </c>
      <c r="C42" s="8" t="s">
        <v>118</v>
      </c>
      <c r="D42" s="9" t="s">
        <v>119</v>
      </c>
      <c r="E42" s="9" t="s">
        <v>98</v>
      </c>
      <c r="F42" s="10">
        <v>0.02</v>
      </c>
      <c r="G42" s="11">
        <v>2</v>
      </c>
      <c r="H42" s="12">
        <f>F42 * G42 * 12163.84</f>
        <v>486.55360000000002</v>
      </c>
      <c r="I42" s="12">
        <f>F42 * G42 * 38755.688437</f>
        <v>1550.2275374799999</v>
      </c>
      <c r="J42" s="12">
        <f t="shared" si="4"/>
        <v>0</v>
      </c>
      <c r="K42" s="12">
        <f>F42 * G42 * 3795.11807999999</f>
        <v>151.80472319999961</v>
      </c>
      <c r="L42" s="13">
        <f t="shared" si="1"/>
        <v>2188.5858606799993</v>
      </c>
    </row>
    <row r="43" spans="2:12" ht="25.5">
      <c r="B43" s="7">
        <v>40</v>
      </c>
      <c r="C43" s="8" t="s">
        <v>101</v>
      </c>
      <c r="D43" s="9" t="s">
        <v>102</v>
      </c>
      <c r="E43" s="9" t="s">
        <v>103</v>
      </c>
      <c r="F43" s="10">
        <v>0.03</v>
      </c>
      <c r="G43" s="11">
        <v>3</v>
      </c>
      <c r="H43" s="12">
        <f>F43 * G43 * 25868.15</f>
        <v>2328.1334999999999</v>
      </c>
      <c r="I43" s="12">
        <f>F43 * G43 * 45657.39542</f>
        <v>4109.1655878000001</v>
      </c>
      <c r="J43" s="12">
        <f t="shared" si="4"/>
        <v>0</v>
      </c>
      <c r="K43" s="12">
        <f>F43 * G43 * 8070.8628</f>
        <v>726.37765200000001</v>
      </c>
      <c r="L43" s="13">
        <f t="shared" si="1"/>
        <v>7163.6767398000002</v>
      </c>
    </row>
    <row r="44" spans="2:12" ht="25.5">
      <c r="B44" s="7">
        <v>41</v>
      </c>
      <c r="C44" s="8" t="s">
        <v>122</v>
      </c>
      <c r="D44" s="9" t="s">
        <v>123</v>
      </c>
      <c r="E44" s="9" t="s">
        <v>103</v>
      </c>
      <c r="F44" s="10">
        <v>0.02</v>
      </c>
      <c r="G44" s="11">
        <v>2</v>
      </c>
      <c r="H44" s="12">
        <f>F44 * G44 * 30101.12</f>
        <v>1204.0447999999999</v>
      </c>
      <c r="I44" s="12">
        <f>F44 * G44 * 47631.87542</f>
        <v>1905.2750168</v>
      </c>
      <c r="J44" s="12">
        <f t="shared" si="4"/>
        <v>0</v>
      </c>
      <c r="K44" s="12">
        <f>F44 * G44 * 9391.54944</f>
        <v>375.66197760000006</v>
      </c>
      <c r="L44" s="13">
        <f t="shared" si="1"/>
        <v>3484.9817944000001</v>
      </c>
    </row>
    <row r="45" spans="2:12" ht="25.5">
      <c r="B45" s="14">
        <v>42</v>
      </c>
      <c r="C45" s="15" t="s">
        <v>104</v>
      </c>
      <c r="D45" s="16" t="s">
        <v>105</v>
      </c>
      <c r="E45" s="16" t="s">
        <v>106</v>
      </c>
      <c r="F45" s="17">
        <v>2</v>
      </c>
      <c r="G45" s="18">
        <v>2</v>
      </c>
      <c r="H45" s="19">
        <f>F45 * G45 * 134.957</f>
        <v>539.82799999999997</v>
      </c>
      <c r="I45" s="19">
        <f>F45 * G45 * 1261.0566</f>
        <v>5044.2263999999996</v>
      </c>
      <c r="J45" s="19">
        <f t="shared" si="4"/>
        <v>0</v>
      </c>
      <c r="K45" s="19">
        <f>F45 * G45 * 42.106584</f>
        <v>168.42633599999999</v>
      </c>
      <c r="L45" s="20">
        <f t="shared" si="1"/>
        <v>5752.4807359999995</v>
      </c>
    </row>
    <row r="46" spans="2:12" ht="15">
      <c r="B46" s="28" t="s">
        <v>26</v>
      </c>
      <c r="C46" s="28"/>
      <c r="D46" s="28"/>
      <c r="E46" s="28"/>
      <c r="F46" s="28"/>
      <c r="G46" s="28"/>
      <c r="H46" s="24">
        <f t="shared" ref="H46:L46" si="5">SUM(H4:H45)</f>
        <v>54278.032672570007</v>
      </c>
      <c r="I46" s="24">
        <f t="shared" si="5"/>
        <v>106259.80574674001</v>
      </c>
      <c r="J46" s="24">
        <f t="shared" si="5"/>
        <v>70.165107320000004</v>
      </c>
      <c r="K46" s="24">
        <f t="shared" si="5"/>
        <v>16939.986190159991</v>
      </c>
      <c r="L46" s="24">
        <f t="shared" si="5"/>
        <v>177547.98971678998</v>
      </c>
    </row>
  </sheetData>
  <mergeCells count="2">
    <mergeCell ref="B2:K3"/>
    <mergeCell ref="B46:G4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L46"/>
  <sheetViews>
    <sheetView topLeftCell="A28" workbookViewId="0">
      <selection activeCell="D37" sqref="D37"/>
    </sheetView>
  </sheetViews>
  <sheetFormatPr defaultRowHeight="15.75"/>
  <cols>
    <col min="1" max="1" width="1" customWidth="1"/>
    <col min="2" max="2" width="6" style="1" customWidth="1"/>
    <col min="3" max="3" width="13" style="2" customWidth="1"/>
    <col min="4" max="4" width="50" style="3" customWidth="1"/>
    <col min="5" max="5" width="20" style="3" customWidth="1"/>
    <col min="6" max="7" width="12" style="4" customWidth="1"/>
    <col min="8" max="9" width="14" style="5" customWidth="1"/>
    <col min="10" max="10" width="13" style="5" customWidth="1"/>
    <col min="11" max="11" width="14" style="5" customWidth="1"/>
    <col min="12" max="12" width="14.85546875" style="5" customWidth="1"/>
  </cols>
  <sheetData>
    <row r="1" spans="2:12" ht="36">
      <c r="B1" s="21" t="s">
        <v>1</v>
      </c>
      <c r="C1" s="22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3" t="s">
        <v>7</v>
      </c>
      <c r="I1" s="23" t="s">
        <v>8</v>
      </c>
      <c r="J1" s="23" t="s">
        <v>9</v>
      </c>
      <c r="K1" s="23" t="s">
        <v>10</v>
      </c>
      <c r="L1" s="23" t="s">
        <v>11</v>
      </c>
    </row>
    <row r="2" spans="2:12" thickBot="1">
      <c r="B2" s="29" t="s">
        <v>128</v>
      </c>
      <c r="C2" s="29"/>
      <c r="D2" s="29"/>
      <c r="E2" s="29"/>
      <c r="F2" s="29"/>
      <c r="G2" s="29"/>
      <c r="H2" s="29"/>
      <c r="I2" s="29"/>
      <c r="J2" s="29"/>
      <c r="K2" s="29"/>
      <c r="L2" s="25"/>
    </row>
    <row r="3" spans="2:12" ht="16.5" thickTop="1" thickBot="1">
      <c r="B3" s="30"/>
      <c r="C3" s="30"/>
      <c r="D3" s="30"/>
      <c r="E3" s="30"/>
      <c r="F3" s="30"/>
      <c r="G3" s="30"/>
      <c r="H3" s="30"/>
      <c r="I3" s="30"/>
      <c r="J3" s="30"/>
      <c r="K3" s="30"/>
      <c r="L3" s="26"/>
    </row>
    <row r="4" spans="2:12" ht="39" thickTop="1">
      <c r="B4" s="7">
        <v>1</v>
      </c>
      <c r="C4" s="8" t="s">
        <v>12</v>
      </c>
      <c r="D4" s="9" t="s">
        <v>13</v>
      </c>
      <c r="E4" s="9" t="s">
        <v>14</v>
      </c>
      <c r="F4" s="10">
        <v>0.12</v>
      </c>
      <c r="G4" s="11">
        <v>4</v>
      </c>
      <c r="H4" s="12">
        <f>F4 * G4 * 15639.52</f>
        <v>7506.9696000000004</v>
      </c>
      <c r="I4" s="12">
        <f>F4 * G4 * 21705.165506</f>
        <v>10418.47944288</v>
      </c>
      <c r="J4" s="12">
        <f t="shared" ref="J4:J5" si="0">F4 * G4 * 0</f>
        <v>0</v>
      </c>
      <c r="K4" s="12">
        <f>F4 * G4 * 4879.53024</f>
        <v>2342.1745151999999</v>
      </c>
      <c r="L4" s="13">
        <f t="shared" ref="L4:L45" si="1">SUM(H4:K4)</f>
        <v>20267.623558079998</v>
      </c>
    </row>
    <row r="5" spans="2:12" ht="38.25">
      <c r="B5" s="7">
        <v>2</v>
      </c>
      <c r="C5" s="8" t="s">
        <v>15</v>
      </c>
      <c r="D5" s="9" t="s">
        <v>16</v>
      </c>
      <c r="E5" s="9" t="s">
        <v>14</v>
      </c>
      <c r="F5" s="10">
        <v>0.08</v>
      </c>
      <c r="G5" s="11">
        <v>4</v>
      </c>
      <c r="H5" s="12">
        <f>F5 * G5 * 16576.82</f>
        <v>5304.5824000000002</v>
      </c>
      <c r="I5" s="12">
        <f>F5 * G5 * 34762.843598</f>
        <v>11124.10995136</v>
      </c>
      <c r="J5" s="12">
        <f t="shared" si="0"/>
        <v>0</v>
      </c>
      <c r="K5" s="12">
        <f>F5 * G5 * 5171.96784</f>
        <v>1655.0297088000002</v>
      </c>
      <c r="L5" s="13">
        <f t="shared" si="1"/>
        <v>18083.722060160002</v>
      </c>
    </row>
    <row r="6" spans="2:12">
      <c r="B6" s="7">
        <v>3</v>
      </c>
      <c r="C6" s="8" t="s">
        <v>27</v>
      </c>
      <c r="D6" s="9" t="s">
        <v>28</v>
      </c>
      <c r="E6" s="9" t="s">
        <v>29</v>
      </c>
      <c r="F6" s="10">
        <v>0.01</v>
      </c>
      <c r="G6" s="11">
        <v>1</v>
      </c>
      <c r="H6" s="12">
        <f>F6 * G6 * 3910.157507</f>
        <v>39.101575070000003</v>
      </c>
      <c r="I6" s="12">
        <f>F6 * G6 * 41845.140276</f>
        <v>418.45140276000001</v>
      </c>
      <c r="J6" s="12">
        <f>F6 * G6 * 204.802785</f>
        <v>2.04802785</v>
      </c>
      <c r="K6" s="12">
        <f>F6 * G6 * 1235.142821</f>
        <v>12.35142821</v>
      </c>
      <c r="L6" s="13">
        <f t="shared" si="1"/>
        <v>471.95243389000001</v>
      </c>
    </row>
    <row r="7" spans="2:12" ht="25.5">
      <c r="B7" s="7">
        <v>4</v>
      </c>
      <c r="C7" s="8" t="s">
        <v>30</v>
      </c>
      <c r="D7" s="9" t="s">
        <v>31</v>
      </c>
      <c r="E7" s="9" t="s">
        <v>32</v>
      </c>
      <c r="F7" s="10">
        <v>0.01</v>
      </c>
      <c r="G7" s="11">
        <v>1</v>
      </c>
      <c r="H7" s="12">
        <f>F7 * G7 * 7529.896158</f>
        <v>75.298961579999997</v>
      </c>
      <c r="I7" s="12">
        <f>F7 * G7 * 81375.866004</f>
        <v>813.75866004</v>
      </c>
      <c r="J7" s="12">
        <f>F7 * G7 * 391.708823</f>
        <v>3.9170882300000001</v>
      </c>
      <c r="K7" s="12">
        <f>F7 * G7 * 2376.640223</f>
        <v>23.766402230000001</v>
      </c>
      <c r="L7" s="13">
        <f t="shared" si="1"/>
        <v>916.74111207999999</v>
      </c>
    </row>
    <row r="8" spans="2:12" ht="25.5">
      <c r="B8" s="7">
        <v>5</v>
      </c>
      <c r="C8" s="8" t="s">
        <v>18</v>
      </c>
      <c r="D8" s="9" t="s">
        <v>19</v>
      </c>
      <c r="E8" s="9" t="s">
        <v>17</v>
      </c>
      <c r="F8" s="10">
        <v>0.02</v>
      </c>
      <c r="G8" s="11">
        <v>2</v>
      </c>
      <c r="H8" s="12">
        <f>F8 * G8 * 13711.78</f>
        <v>548.47120000000007</v>
      </c>
      <c r="I8" s="12">
        <f>F8 * G8 * 2871.662897</f>
        <v>114.86651588000001</v>
      </c>
      <c r="J8" s="12">
        <f>F8 * G8 * 0</f>
        <v>0</v>
      </c>
      <c r="K8" s="12">
        <f>F8 * G8 * 4278.07536</f>
        <v>171.12301439999999</v>
      </c>
      <c r="L8" s="13">
        <f t="shared" si="1"/>
        <v>834.46073028000012</v>
      </c>
    </row>
    <row r="9" spans="2:12" ht="25.5">
      <c r="B9" s="7">
        <v>6</v>
      </c>
      <c r="C9" s="8" t="s">
        <v>20</v>
      </c>
      <c r="D9" s="9" t="s">
        <v>21</v>
      </c>
      <c r="E9" s="9" t="s">
        <v>22</v>
      </c>
      <c r="F9" s="10">
        <v>0.02</v>
      </c>
      <c r="G9" s="11">
        <v>2</v>
      </c>
      <c r="H9" s="12">
        <f>F9 * G9 * 2387.741</f>
        <v>95.509640000000005</v>
      </c>
      <c r="I9" s="12">
        <f>F9 * G9 * 756.000504</f>
        <v>30.24002016</v>
      </c>
      <c r="J9" s="12">
        <f t="shared" ref="J9:J10" si="2">F9 * G9 * 0</f>
        <v>0</v>
      </c>
      <c r="K9" s="12">
        <f>F9 * G9 * 744.975192</f>
        <v>29.799007679999999</v>
      </c>
      <c r="L9" s="13">
        <f t="shared" si="1"/>
        <v>155.54866784000001</v>
      </c>
    </row>
    <row r="10" spans="2:12" ht="25.5">
      <c r="B10" s="7">
        <v>7</v>
      </c>
      <c r="C10" s="8" t="s">
        <v>23</v>
      </c>
      <c r="D10" s="9" t="s">
        <v>24</v>
      </c>
      <c r="E10" s="9" t="s">
        <v>25</v>
      </c>
      <c r="F10" s="10">
        <v>0.03</v>
      </c>
      <c r="G10" s="11">
        <v>3</v>
      </c>
      <c r="H10" s="12">
        <f>F10 * G10 * 7328.71</f>
        <v>659.58389999999997</v>
      </c>
      <c r="I10" s="12">
        <f>F10 * G10 * 110433.355</f>
        <v>9939.0019499999999</v>
      </c>
      <c r="J10" s="12">
        <f t="shared" si="2"/>
        <v>0</v>
      </c>
      <c r="K10" s="12">
        <f>F10 * G10 * 2286.55752</f>
        <v>205.79017679999998</v>
      </c>
      <c r="L10" s="13">
        <f t="shared" si="1"/>
        <v>10804.376026799999</v>
      </c>
    </row>
    <row r="11" spans="2:12">
      <c r="B11" s="7">
        <v>8</v>
      </c>
      <c r="C11" s="8" t="s">
        <v>27</v>
      </c>
      <c r="D11" s="9" t="s">
        <v>28</v>
      </c>
      <c r="E11" s="9" t="s">
        <v>29</v>
      </c>
      <c r="F11" s="10">
        <v>0.02</v>
      </c>
      <c r="G11" s="11">
        <v>2</v>
      </c>
      <c r="H11" s="12">
        <f>F11 * G11 * 3910.157507</f>
        <v>156.40630028000001</v>
      </c>
      <c r="I11" s="12">
        <f>F11 * G11 * 41845.140276</f>
        <v>1673.80561104</v>
      </c>
      <c r="J11" s="12">
        <f>F11 * G11 * 204.802785</f>
        <v>8.1921113999999999</v>
      </c>
      <c r="K11" s="12">
        <f>F11 * G11 * 1235.142821</f>
        <v>49.40571284</v>
      </c>
      <c r="L11" s="13">
        <f t="shared" si="1"/>
        <v>1887.80973556</v>
      </c>
    </row>
    <row r="12" spans="2:12" ht="25.5">
      <c r="B12" s="7">
        <v>9</v>
      </c>
      <c r="C12" s="8" t="s">
        <v>30</v>
      </c>
      <c r="D12" s="9" t="s">
        <v>31</v>
      </c>
      <c r="E12" s="9" t="s">
        <v>32</v>
      </c>
      <c r="F12" s="10">
        <v>0.03</v>
      </c>
      <c r="G12" s="11">
        <v>3</v>
      </c>
      <c r="H12" s="12">
        <f>F12 * G12 * 7529.896158</f>
        <v>677.69065421999994</v>
      </c>
      <c r="I12" s="12">
        <f>F12 * G12 * 81375.866004</f>
        <v>7323.827940359999</v>
      </c>
      <c r="J12" s="12">
        <f>F12 * G12 * 391.708823</f>
        <v>35.253794069999998</v>
      </c>
      <c r="K12" s="12">
        <f>F12 * G12 * 2376.640223</f>
        <v>213.89762006999999</v>
      </c>
      <c r="L12" s="13">
        <f t="shared" si="1"/>
        <v>8250.6700087199988</v>
      </c>
    </row>
    <row r="13" spans="2:12" ht="25.5">
      <c r="B13" s="7">
        <v>10</v>
      </c>
      <c r="C13" s="8" t="s">
        <v>33</v>
      </c>
      <c r="D13" s="9" t="s">
        <v>34</v>
      </c>
      <c r="E13" s="9" t="s">
        <v>29</v>
      </c>
      <c r="F13" s="10">
        <v>0.02</v>
      </c>
      <c r="G13" s="11">
        <v>2</v>
      </c>
      <c r="H13" s="12">
        <f>F13 * G13 * 2289.63494</f>
        <v>91.585397599999993</v>
      </c>
      <c r="I13" s="12">
        <f>F13 * G13 * 8888.9847</f>
        <v>355.55938800000007</v>
      </c>
      <c r="J13" s="12">
        <f>F13 * G13 * 225.070527</f>
        <v>9.0028210800000004</v>
      </c>
      <c r="K13" s="12">
        <f>F13 * G13 * 737.632408</f>
        <v>29.505296320000003</v>
      </c>
      <c r="L13" s="13">
        <f t="shared" si="1"/>
        <v>485.65290300000009</v>
      </c>
    </row>
    <row r="14" spans="2:12" ht="25.5">
      <c r="B14" s="7">
        <v>11</v>
      </c>
      <c r="C14" s="8" t="s">
        <v>110</v>
      </c>
      <c r="D14" s="9" t="s">
        <v>111</v>
      </c>
      <c r="E14" s="9" t="s">
        <v>112</v>
      </c>
      <c r="F14" s="10">
        <v>1</v>
      </c>
      <c r="G14" s="11">
        <v>1</v>
      </c>
      <c r="H14" s="12">
        <f>F14 * G14 * 1440.234</f>
        <v>1440.2339999999999</v>
      </c>
      <c r="I14" s="12">
        <f>F14 * G14 * 373.563353</f>
        <v>373.56335300000001</v>
      </c>
      <c r="J14" s="12">
        <f t="shared" ref="J14:J19" si="3">F14 * G14 * 0</f>
        <v>0</v>
      </c>
      <c r="K14" s="12">
        <f>F14 * G14 * 449.353008</f>
        <v>449.35300799999999</v>
      </c>
      <c r="L14" s="13">
        <f t="shared" si="1"/>
        <v>2263.150361</v>
      </c>
    </row>
    <row r="15" spans="2:12">
      <c r="B15" s="7">
        <v>12</v>
      </c>
      <c r="C15" s="8" t="s">
        <v>113</v>
      </c>
      <c r="D15" s="9" t="s">
        <v>114</v>
      </c>
      <c r="E15" s="9" t="s">
        <v>115</v>
      </c>
      <c r="F15" s="10">
        <v>0</v>
      </c>
      <c r="G15" s="11">
        <v>0</v>
      </c>
      <c r="H15" s="12">
        <f>F15 * G15 * 14.1846</f>
        <v>0</v>
      </c>
      <c r="I15" s="12">
        <f>F15 * G15 * 1.533433</f>
        <v>0</v>
      </c>
      <c r="J15" s="12">
        <f t="shared" si="3"/>
        <v>0</v>
      </c>
      <c r="K15" s="12">
        <f>F15 * G15 * 4.425595</f>
        <v>0</v>
      </c>
      <c r="L15" s="13">
        <f t="shared" si="1"/>
        <v>0</v>
      </c>
    </row>
    <row r="16" spans="2:12">
      <c r="B16" s="7">
        <v>13</v>
      </c>
      <c r="C16" s="8" t="s">
        <v>35</v>
      </c>
      <c r="D16" s="9" t="s">
        <v>36</v>
      </c>
      <c r="E16" s="9" t="s">
        <v>37</v>
      </c>
      <c r="F16" s="10">
        <v>2</v>
      </c>
      <c r="G16" s="11">
        <v>2</v>
      </c>
      <c r="H16" s="12">
        <f>F16 * G16 * 125.3537</f>
        <v>501.41480000000001</v>
      </c>
      <c r="I16" s="12">
        <f>F16 * G16 * 68.385752</f>
        <v>273.54300799999999</v>
      </c>
      <c r="J16" s="12">
        <f t="shared" si="3"/>
        <v>0</v>
      </c>
      <c r="K16" s="12">
        <f>F16 * G16 * 39.110354</f>
        <v>156.441416</v>
      </c>
      <c r="L16" s="13">
        <f t="shared" si="1"/>
        <v>931.399224</v>
      </c>
    </row>
    <row r="17" spans="2:12">
      <c r="B17" s="7">
        <v>14</v>
      </c>
      <c r="C17" s="8" t="s">
        <v>38</v>
      </c>
      <c r="D17" s="9" t="s">
        <v>39</v>
      </c>
      <c r="E17" s="9" t="s">
        <v>40</v>
      </c>
      <c r="F17" s="10">
        <v>1</v>
      </c>
      <c r="G17" s="11">
        <v>1</v>
      </c>
      <c r="H17" s="12">
        <f>F17 * G17 * 35.4615</f>
        <v>35.461500000000001</v>
      </c>
      <c r="I17" s="12">
        <f>F17 * G17 * 158.431504</f>
        <v>158.43150399999999</v>
      </c>
      <c r="J17" s="12">
        <f t="shared" si="3"/>
        <v>0</v>
      </c>
      <c r="K17" s="12">
        <f>F17 * G17 * 11.063988</f>
        <v>11.063988</v>
      </c>
      <c r="L17" s="13">
        <f t="shared" si="1"/>
        <v>204.95699199999999</v>
      </c>
    </row>
    <row r="18" spans="2:12">
      <c r="B18" s="7">
        <v>15</v>
      </c>
      <c r="C18" s="8" t="s">
        <v>41</v>
      </c>
      <c r="D18" s="9" t="s">
        <v>42</v>
      </c>
      <c r="E18" s="9" t="s">
        <v>43</v>
      </c>
      <c r="F18" s="10">
        <v>0.01</v>
      </c>
      <c r="G18" s="11">
        <v>1</v>
      </c>
      <c r="H18" s="12">
        <f>F18 * G18 * 25248.588</f>
        <v>252.48588000000001</v>
      </c>
      <c r="I18" s="12">
        <f>F18 * G18 * 65571.509155</f>
        <v>655.71509155000012</v>
      </c>
      <c r="J18" s="12">
        <f t="shared" si="3"/>
        <v>0</v>
      </c>
      <c r="K18" s="12">
        <f>F18 * G18 * 7877.559456</f>
        <v>78.775594560000002</v>
      </c>
      <c r="L18" s="13">
        <f t="shared" si="1"/>
        <v>986.97656611000002</v>
      </c>
    </row>
    <row r="19" spans="2:12">
      <c r="B19" s="7">
        <v>16</v>
      </c>
      <c r="C19" s="8" t="s">
        <v>120</v>
      </c>
      <c r="D19" s="9" t="s">
        <v>121</v>
      </c>
      <c r="E19" s="9" t="s">
        <v>43</v>
      </c>
      <c r="F19" s="10">
        <v>0.01</v>
      </c>
      <c r="G19" s="11">
        <v>1</v>
      </c>
      <c r="H19" s="12">
        <f>F19 * G19 * 17305.212</f>
        <v>173.05212</v>
      </c>
      <c r="I19" s="12">
        <f>F19 * G19 * 69099.634507</f>
        <v>690.99634506999996</v>
      </c>
      <c r="J19" s="12">
        <f t="shared" si="3"/>
        <v>0</v>
      </c>
      <c r="K19" s="12">
        <f>F19 * G19 * 5399.226144</f>
        <v>53.99226144</v>
      </c>
      <c r="L19" s="13">
        <f t="shared" si="1"/>
        <v>918.04072651000001</v>
      </c>
    </row>
    <row r="20" spans="2:12">
      <c r="B20" s="7">
        <v>17</v>
      </c>
      <c r="C20" s="8" t="s">
        <v>44</v>
      </c>
      <c r="D20" s="9" t="s">
        <v>45</v>
      </c>
      <c r="E20" s="9" t="s">
        <v>46</v>
      </c>
      <c r="F20" s="10">
        <v>0.03</v>
      </c>
      <c r="G20" s="11">
        <v>3</v>
      </c>
      <c r="H20" s="12">
        <f>F20 * G20 * 47282</f>
        <v>4255.38</v>
      </c>
      <c r="I20" s="12">
        <f>F20 * G20 * 76576.12775</f>
        <v>6891.8514974999998</v>
      </c>
      <c r="J20" s="12">
        <f>F20 * G20 * 0</f>
        <v>0</v>
      </c>
      <c r="K20" s="12">
        <f>F20 * G20 * 14751.984</f>
        <v>1327.6785600000001</v>
      </c>
      <c r="L20" s="13">
        <f t="shared" si="1"/>
        <v>12474.910057500001</v>
      </c>
    </row>
    <row r="21" spans="2:12">
      <c r="B21" s="7">
        <v>18</v>
      </c>
      <c r="C21" s="8" t="s">
        <v>47</v>
      </c>
      <c r="D21" s="9" t="s">
        <v>48</v>
      </c>
      <c r="E21" s="9" t="s">
        <v>49</v>
      </c>
      <c r="F21" s="10">
        <v>2</v>
      </c>
      <c r="G21" s="11">
        <v>2</v>
      </c>
      <c r="H21" s="12">
        <f>F21 * G21 * 44.9179</f>
        <v>179.67160000000001</v>
      </c>
      <c r="I21" s="12">
        <f>F21 * G21 * 44.1864</f>
        <v>176.7456</v>
      </c>
      <c r="J21" s="12">
        <f t="shared" ref="J21:J45" si="4">F21 * G21 * 0</f>
        <v>0</v>
      </c>
      <c r="K21" s="12">
        <f>F21 * G21 * 14.014385</f>
        <v>56.057540000000003</v>
      </c>
      <c r="L21" s="13">
        <f t="shared" si="1"/>
        <v>412.47474</v>
      </c>
    </row>
    <row r="22" spans="2:12" ht="25.5">
      <c r="B22" s="7">
        <v>19</v>
      </c>
      <c r="C22" s="8" t="s">
        <v>50</v>
      </c>
      <c r="D22" s="9" t="s">
        <v>51</v>
      </c>
      <c r="E22" s="9" t="s">
        <v>52</v>
      </c>
      <c r="F22" s="10">
        <v>4</v>
      </c>
      <c r="G22" s="11">
        <v>4</v>
      </c>
      <c r="H22" s="12">
        <f>F22 * G22 * 237.81681</f>
        <v>3805.0689600000001</v>
      </c>
      <c r="I22" s="12">
        <f>F22 * G22 * 479.105858</f>
        <v>7665.6937280000002</v>
      </c>
      <c r="J22" s="12">
        <f t="shared" si="4"/>
        <v>0</v>
      </c>
      <c r="K22" s="12">
        <f>F22 * G22 * 74.198845</f>
        <v>1187.1815200000001</v>
      </c>
      <c r="L22" s="13">
        <f t="shared" si="1"/>
        <v>12657.944208000001</v>
      </c>
    </row>
    <row r="23" spans="2:12" ht="25.5">
      <c r="B23" s="7">
        <v>20</v>
      </c>
      <c r="C23" s="8" t="s">
        <v>53</v>
      </c>
      <c r="D23" s="9" t="s">
        <v>54</v>
      </c>
      <c r="E23" s="9" t="s">
        <v>52</v>
      </c>
      <c r="F23" s="10">
        <v>5</v>
      </c>
      <c r="G23" s="11">
        <v>5</v>
      </c>
      <c r="H23" s="12">
        <f>F23 * G23 * 37.8256</f>
        <v>945.64</v>
      </c>
      <c r="I23" s="12">
        <f>F23 * G23 * 43.9812</f>
        <v>1099.53</v>
      </c>
      <c r="J23" s="12">
        <f t="shared" si="4"/>
        <v>0</v>
      </c>
      <c r="K23" s="12">
        <f>F23 * G23 * 11.801587</f>
        <v>295.03967499999999</v>
      </c>
      <c r="L23" s="13">
        <f t="shared" si="1"/>
        <v>2340.2096750000001</v>
      </c>
    </row>
    <row r="24" spans="2:12">
      <c r="B24" s="7">
        <v>21</v>
      </c>
      <c r="C24" s="8" t="s">
        <v>55</v>
      </c>
      <c r="D24" s="9" t="s">
        <v>56</v>
      </c>
      <c r="E24" s="9" t="s">
        <v>57</v>
      </c>
      <c r="F24" s="10">
        <v>5</v>
      </c>
      <c r="G24" s="11">
        <v>5</v>
      </c>
      <c r="H24" s="12">
        <f>F24 * G24 * 22.45895</f>
        <v>561.47375</v>
      </c>
      <c r="I24" s="12">
        <f>F24 * G24 * 141.0294</f>
        <v>3525.7350000000001</v>
      </c>
      <c r="J24" s="12">
        <f t="shared" si="4"/>
        <v>0</v>
      </c>
      <c r="K24" s="12">
        <f>F24 * G24 * 7.007193</f>
        <v>175.17982499999999</v>
      </c>
      <c r="L24" s="13">
        <f t="shared" si="1"/>
        <v>4262.3885749999999</v>
      </c>
    </row>
    <row r="25" spans="2:12" ht="38.25">
      <c r="B25" s="7">
        <v>22</v>
      </c>
      <c r="C25" s="8" t="s">
        <v>58</v>
      </c>
      <c r="D25" s="9" t="s">
        <v>59</v>
      </c>
      <c r="E25" s="9" t="s">
        <v>14</v>
      </c>
      <c r="F25" s="10">
        <v>0.05</v>
      </c>
      <c r="G25" s="11">
        <v>3</v>
      </c>
      <c r="H25" s="12">
        <f>F25 * G25 * 17618.977</f>
        <v>2642.8465500000002</v>
      </c>
      <c r="I25" s="12">
        <f>F25 * G25 * 18074.952694</f>
        <v>2711.2429041000005</v>
      </c>
      <c r="J25" s="12">
        <f t="shared" si="4"/>
        <v>0</v>
      </c>
      <c r="K25" s="12">
        <f>F25 * G25 * 5497.120824</f>
        <v>824.56812360000004</v>
      </c>
      <c r="L25" s="13">
        <f t="shared" si="1"/>
        <v>6178.6575777000007</v>
      </c>
    </row>
    <row r="26" spans="2:12" ht="38.25">
      <c r="B26" s="7">
        <v>23</v>
      </c>
      <c r="C26" s="8" t="s">
        <v>60</v>
      </c>
      <c r="D26" s="9" t="s">
        <v>61</v>
      </c>
      <c r="E26" s="9" t="s">
        <v>14</v>
      </c>
      <c r="F26" s="10">
        <v>0.05</v>
      </c>
      <c r="G26" s="11">
        <v>3</v>
      </c>
      <c r="H26" s="12">
        <f>F26 * G26 * 19453.3435</f>
        <v>2918.0015250000001</v>
      </c>
      <c r="I26" s="12">
        <f>F26 * G26 * 25367.354534</f>
        <v>3805.1031801000004</v>
      </c>
      <c r="J26" s="12">
        <f t="shared" si="4"/>
        <v>0</v>
      </c>
      <c r="K26" s="12">
        <f>F26 * G26 * 6069.443172</f>
        <v>910.41647580000017</v>
      </c>
      <c r="L26" s="13">
        <f t="shared" si="1"/>
        <v>7633.5211809000011</v>
      </c>
    </row>
    <row r="27" spans="2:12">
      <c r="B27" s="7">
        <v>24</v>
      </c>
      <c r="C27" s="8" t="s">
        <v>62</v>
      </c>
      <c r="D27" s="9" t="s">
        <v>63</v>
      </c>
      <c r="E27" s="9" t="s">
        <v>64</v>
      </c>
      <c r="F27" s="10">
        <v>0.03</v>
      </c>
      <c r="G27" s="11">
        <v>3</v>
      </c>
      <c r="H27" s="12">
        <f>F27 * G27 * 6713.504</f>
        <v>604.21535999999992</v>
      </c>
      <c r="I27" s="12">
        <f>F27 * G27 * 6955.135292</f>
        <v>625.96217627999999</v>
      </c>
      <c r="J27" s="12">
        <f t="shared" si="4"/>
        <v>0</v>
      </c>
      <c r="K27" s="12">
        <f>F27 * G27 * 2094.613248</f>
        <v>188.51519232000001</v>
      </c>
      <c r="L27" s="13">
        <f t="shared" si="1"/>
        <v>1418.6927286</v>
      </c>
    </row>
    <row r="28" spans="2:12" ht="25.5">
      <c r="B28" s="7">
        <v>25</v>
      </c>
      <c r="C28" s="8" t="s">
        <v>65</v>
      </c>
      <c r="D28" s="9" t="s">
        <v>66</v>
      </c>
      <c r="E28" s="9" t="s">
        <v>67</v>
      </c>
      <c r="F28" s="10">
        <v>4</v>
      </c>
      <c r="G28" s="11">
        <v>4</v>
      </c>
      <c r="H28" s="12">
        <f>F28 * G28 * 30.7333</f>
        <v>491.7328</v>
      </c>
      <c r="I28" s="12">
        <f>F28 * G28 * 6.05454</f>
        <v>96.872640000000004</v>
      </c>
      <c r="J28" s="12">
        <f t="shared" si="4"/>
        <v>0</v>
      </c>
      <c r="K28" s="12">
        <f>F28 * G28 * 9.58879</f>
        <v>153.42063999999999</v>
      </c>
      <c r="L28" s="13">
        <f t="shared" si="1"/>
        <v>742.02608000000009</v>
      </c>
    </row>
    <row r="29" spans="2:12" ht="25.5">
      <c r="B29" s="7">
        <v>26</v>
      </c>
      <c r="C29" s="8" t="s">
        <v>68</v>
      </c>
      <c r="D29" s="9" t="s">
        <v>69</v>
      </c>
      <c r="E29" s="9" t="s">
        <v>70</v>
      </c>
      <c r="F29" s="10">
        <v>1</v>
      </c>
      <c r="G29" s="11">
        <v>1</v>
      </c>
      <c r="H29" s="12">
        <f>F29 * G29 * 4122.7215</f>
        <v>4122.7214999999997</v>
      </c>
      <c r="I29" s="12">
        <f>F29 * G29 * 0</f>
        <v>0</v>
      </c>
      <c r="J29" s="12">
        <f t="shared" si="4"/>
        <v>0</v>
      </c>
      <c r="K29" s="12">
        <f>F29 * G29 * 1286.289108</f>
        <v>1286.2891079999999</v>
      </c>
      <c r="L29" s="13">
        <f t="shared" si="1"/>
        <v>5409.0106079999996</v>
      </c>
    </row>
    <row r="30" spans="2:12" ht="25.5">
      <c r="B30" s="7">
        <v>27</v>
      </c>
      <c r="C30" s="8" t="s">
        <v>71</v>
      </c>
      <c r="D30" s="9" t="s">
        <v>72</v>
      </c>
      <c r="E30" s="9" t="s">
        <v>73</v>
      </c>
      <c r="F30" s="10">
        <v>0.02</v>
      </c>
      <c r="G30" s="11">
        <v>2</v>
      </c>
      <c r="H30" s="12">
        <f>F30 * G30 * 17320.196583</f>
        <v>692.80786332000002</v>
      </c>
      <c r="I30" s="12">
        <f>F30 * G30 * 323569.609729</f>
        <v>12942.784389160001</v>
      </c>
      <c r="J30" s="12">
        <f t="shared" si="4"/>
        <v>0</v>
      </c>
      <c r="K30" s="12">
        <f>F30 * G30 * 5403.90133399999</f>
        <v>216.15605335999962</v>
      </c>
      <c r="L30" s="13">
        <f t="shared" si="1"/>
        <v>13851.748305840001</v>
      </c>
    </row>
    <row r="31" spans="2:12" ht="25.5">
      <c r="B31" s="7">
        <v>28</v>
      </c>
      <c r="C31" s="8" t="s">
        <v>74</v>
      </c>
      <c r="D31" s="9" t="s">
        <v>75</v>
      </c>
      <c r="E31" s="9" t="s">
        <v>76</v>
      </c>
      <c r="F31" s="10">
        <v>0.03</v>
      </c>
      <c r="G31" s="11">
        <v>3</v>
      </c>
      <c r="H31" s="12">
        <f>F31 * G31 * 19048.365</f>
        <v>1714.35285</v>
      </c>
      <c r="I31" s="12">
        <f>F31 * G31 * 17188.559066</f>
        <v>1546.9703159400001</v>
      </c>
      <c r="J31" s="12">
        <f t="shared" si="4"/>
        <v>0</v>
      </c>
      <c r="K31" s="12">
        <f>F31 * G31 * 5943.08988</f>
        <v>534.87808919999998</v>
      </c>
      <c r="L31" s="13">
        <f t="shared" si="1"/>
        <v>3796.2012551399998</v>
      </c>
    </row>
    <row r="32" spans="2:12" ht="25.5">
      <c r="B32" s="7">
        <v>29</v>
      </c>
      <c r="C32" s="8" t="s">
        <v>116</v>
      </c>
      <c r="D32" s="9" t="s">
        <v>117</v>
      </c>
      <c r="E32" s="9" t="s">
        <v>76</v>
      </c>
      <c r="F32" s="10">
        <v>0.02</v>
      </c>
      <c r="G32" s="11">
        <v>2</v>
      </c>
      <c r="H32" s="12">
        <f>F32 * G32 * 24221.995</f>
        <v>968.87979999999993</v>
      </c>
      <c r="I32" s="12">
        <f>F32 * G32 * 37397.213283</f>
        <v>1495.8885313199999</v>
      </c>
      <c r="J32" s="12">
        <f t="shared" si="4"/>
        <v>0</v>
      </c>
      <c r="K32" s="12">
        <f>F32 * G32 * 7557.26243999999</f>
        <v>302.29049759999964</v>
      </c>
      <c r="L32" s="13">
        <f t="shared" si="1"/>
        <v>2767.0588289199991</v>
      </c>
    </row>
    <row r="33" spans="2:12" ht="38.25">
      <c r="B33" s="7">
        <v>30</v>
      </c>
      <c r="C33" s="8" t="s">
        <v>77</v>
      </c>
      <c r="D33" s="9" t="s">
        <v>78</v>
      </c>
      <c r="E33" s="9" t="s">
        <v>79</v>
      </c>
      <c r="F33" s="10">
        <v>0.02</v>
      </c>
      <c r="G33" s="11">
        <v>2</v>
      </c>
      <c r="H33" s="12">
        <f>F33 * G33 * 19260.309046</f>
        <v>770.4123618399999</v>
      </c>
      <c r="I33" s="12">
        <f>F33 * G33 * 13074.274888</f>
        <v>522.97099551999997</v>
      </c>
      <c r="J33" s="12">
        <f t="shared" si="4"/>
        <v>0</v>
      </c>
      <c r="K33" s="12">
        <f>F33 * G33 * 6009.21642199999</f>
        <v>240.36865687999963</v>
      </c>
      <c r="L33" s="13">
        <f t="shared" si="1"/>
        <v>1533.7520142399997</v>
      </c>
    </row>
    <row r="34" spans="2:12" ht="38.25">
      <c r="B34" s="7">
        <v>31</v>
      </c>
      <c r="C34" s="8" t="s">
        <v>80</v>
      </c>
      <c r="D34" s="9" t="s">
        <v>81</v>
      </c>
      <c r="E34" s="9" t="s">
        <v>79</v>
      </c>
      <c r="F34" s="10">
        <v>0.06</v>
      </c>
      <c r="G34" s="11">
        <v>6</v>
      </c>
      <c r="H34" s="12">
        <f>F34 * G34 * 20223.3245</f>
        <v>7280.396819999999</v>
      </c>
      <c r="I34" s="12">
        <f>F34 * G34 * 15834.564328</f>
        <v>5700.4431580800001</v>
      </c>
      <c r="J34" s="12">
        <f t="shared" si="4"/>
        <v>0</v>
      </c>
      <c r="K34" s="12">
        <f>F34 * G34 * 6309.677244</f>
        <v>2271.4838078400003</v>
      </c>
      <c r="L34" s="13">
        <f t="shared" si="1"/>
        <v>15252.32378592</v>
      </c>
    </row>
    <row r="35" spans="2:12" ht="25.5">
      <c r="B35" s="7">
        <v>32</v>
      </c>
      <c r="C35" s="8" t="s">
        <v>82</v>
      </c>
      <c r="D35" s="9" t="s">
        <v>83</v>
      </c>
      <c r="E35" s="9" t="s">
        <v>84</v>
      </c>
      <c r="F35" s="10">
        <v>0.02</v>
      </c>
      <c r="G35" s="11">
        <v>2</v>
      </c>
      <c r="H35" s="12">
        <f>F35 * G35 * 68937.156</f>
        <v>2757.4862400000002</v>
      </c>
      <c r="I35" s="12">
        <f>F35 * G35 * 2140.763458</f>
        <v>85.630538319999999</v>
      </c>
      <c r="J35" s="12">
        <f t="shared" si="4"/>
        <v>0</v>
      </c>
      <c r="K35" s="12">
        <f>F35 * G35 * 21508.3926719999</f>
        <v>860.335706879996</v>
      </c>
      <c r="L35" s="13">
        <f t="shared" si="1"/>
        <v>3703.4524851999963</v>
      </c>
    </row>
    <row r="36" spans="2:12" ht="25.5">
      <c r="B36" s="7">
        <v>33</v>
      </c>
      <c r="C36" s="8" t="s">
        <v>85</v>
      </c>
      <c r="D36" s="9" t="s">
        <v>86</v>
      </c>
      <c r="E36" s="9" t="s">
        <v>84</v>
      </c>
      <c r="F36" s="10">
        <v>0.01</v>
      </c>
      <c r="G36" s="11">
        <v>1</v>
      </c>
      <c r="H36" s="12">
        <f>F36 * G36 * 52506.661</f>
        <v>525.06660999999997</v>
      </c>
      <c r="I36" s="12">
        <f>F36 * G36 * 13384.689778</f>
        <v>133.84689778000001</v>
      </c>
      <c r="J36" s="12">
        <f t="shared" si="4"/>
        <v>0</v>
      </c>
      <c r="K36" s="12">
        <f>F36 * G36 * 16382.078232</f>
        <v>163.82078232000001</v>
      </c>
      <c r="L36" s="13">
        <f t="shared" si="1"/>
        <v>822.73429009999995</v>
      </c>
    </row>
    <row r="37" spans="2:12">
      <c r="B37" s="7">
        <v>34</v>
      </c>
      <c r="C37" s="8" t="s">
        <v>87</v>
      </c>
      <c r="D37" s="9" t="s">
        <v>88</v>
      </c>
      <c r="E37" s="9" t="s">
        <v>89</v>
      </c>
      <c r="F37" s="10">
        <v>1</v>
      </c>
      <c r="G37" s="11">
        <v>1</v>
      </c>
      <c r="H37" s="12">
        <f>F37 * G37 * 1443.060826</f>
        <v>1443.0608259999999</v>
      </c>
      <c r="I37" s="12">
        <f>F37 * G37 * 9459.733517</f>
        <v>9459.7335170000006</v>
      </c>
      <c r="J37" s="12">
        <f t="shared" si="4"/>
        <v>0</v>
      </c>
      <c r="K37" s="12">
        <f>F37 * G37 * 450.234977</f>
        <v>450.23497700000001</v>
      </c>
      <c r="L37" s="13">
        <f t="shared" si="1"/>
        <v>11353.029320000001</v>
      </c>
    </row>
    <row r="38" spans="2:12" ht="25.5">
      <c r="B38" s="7">
        <v>35</v>
      </c>
      <c r="C38" s="8" t="s">
        <v>90</v>
      </c>
      <c r="D38" s="9" t="s">
        <v>91</v>
      </c>
      <c r="E38" s="9" t="s">
        <v>92</v>
      </c>
      <c r="F38" s="10">
        <v>0.2</v>
      </c>
      <c r="G38" s="11">
        <v>1</v>
      </c>
      <c r="H38" s="12">
        <f>F38 * G38 * 482.866087</f>
        <v>96.573217400000004</v>
      </c>
      <c r="I38" s="12">
        <f>F38 * G38 * 2138.058412</f>
        <v>427.61168240000001</v>
      </c>
      <c r="J38" s="12">
        <f t="shared" si="4"/>
        <v>0</v>
      </c>
      <c r="K38" s="12">
        <f>F38 * G38 * 150.654219</f>
        <v>30.130843800000005</v>
      </c>
      <c r="L38" s="13">
        <f t="shared" si="1"/>
        <v>554.31574360000002</v>
      </c>
    </row>
    <row r="39" spans="2:12" ht="25.5">
      <c r="B39" s="7">
        <v>36</v>
      </c>
      <c r="C39" s="8" t="s">
        <v>93</v>
      </c>
      <c r="D39" s="9" t="s">
        <v>94</v>
      </c>
      <c r="E39" s="9" t="s">
        <v>95</v>
      </c>
      <c r="F39" s="10">
        <v>0.01</v>
      </c>
      <c r="G39" s="11">
        <v>1</v>
      </c>
      <c r="H39" s="12">
        <f>F39 * G39 * 187460</f>
        <v>1874.6000000000001</v>
      </c>
      <c r="I39" s="12">
        <f>F39 * G39 * 12357.452188</f>
        <v>123.57452187999999</v>
      </c>
      <c r="J39" s="12">
        <f t="shared" si="4"/>
        <v>0</v>
      </c>
      <c r="K39" s="12">
        <f>F39 * G39 * 58487.52</f>
        <v>584.87519999999995</v>
      </c>
      <c r="L39" s="13">
        <f t="shared" si="1"/>
        <v>2583.0497218800001</v>
      </c>
    </row>
    <row r="40" spans="2:12">
      <c r="B40" s="7">
        <v>37</v>
      </c>
      <c r="C40" s="8" t="s">
        <v>96</v>
      </c>
      <c r="D40" s="9" t="s">
        <v>97</v>
      </c>
      <c r="E40" s="9" t="s">
        <v>98</v>
      </c>
      <c r="F40" s="10">
        <v>0.04</v>
      </c>
      <c r="G40" s="11">
        <v>4</v>
      </c>
      <c r="H40" s="12">
        <f>F40 * G40 * 12163.84</f>
        <v>1946.2144000000001</v>
      </c>
      <c r="I40" s="12">
        <f>F40 * G40 * 13301.676695</f>
        <v>2128.2682712000001</v>
      </c>
      <c r="J40" s="12">
        <f t="shared" si="4"/>
        <v>0</v>
      </c>
      <c r="K40" s="12">
        <f>F40 * G40 * 3795.11807999999</f>
        <v>607.21889279999846</v>
      </c>
      <c r="L40" s="13">
        <f t="shared" si="1"/>
        <v>4681.7015639999991</v>
      </c>
    </row>
    <row r="41" spans="2:12">
      <c r="B41" s="7">
        <v>38</v>
      </c>
      <c r="C41" s="8" t="s">
        <v>99</v>
      </c>
      <c r="D41" s="9" t="s">
        <v>100</v>
      </c>
      <c r="E41" s="9" t="s">
        <v>98</v>
      </c>
      <c r="F41" s="10">
        <v>0.02</v>
      </c>
      <c r="G41" s="11">
        <v>2</v>
      </c>
      <c r="H41" s="12">
        <f>F41 * G41 * 12163.84</f>
        <v>486.55360000000002</v>
      </c>
      <c r="I41" s="12">
        <f>F41 * G41 * 19640.465625</f>
        <v>785.61862500000007</v>
      </c>
      <c r="J41" s="12">
        <f t="shared" si="4"/>
        <v>0</v>
      </c>
      <c r="K41" s="12">
        <f>F41 * G41 * 3795.11807999999</f>
        <v>151.80472319999961</v>
      </c>
      <c r="L41" s="13">
        <f t="shared" si="1"/>
        <v>1423.9769481999997</v>
      </c>
    </row>
    <row r="42" spans="2:12">
      <c r="B42" s="7">
        <v>39</v>
      </c>
      <c r="C42" s="8" t="s">
        <v>118</v>
      </c>
      <c r="D42" s="9" t="s">
        <v>119</v>
      </c>
      <c r="E42" s="9" t="s">
        <v>98</v>
      </c>
      <c r="F42" s="10">
        <v>0.02</v>
      </c>
      <c r="G42" s="11">
        <v>2</v>
      </c>
      <c r="H42" s="12">
        <f>F42 * G42 * 12163.84</f>
        <v>486.55360000000002</v>
      </c>
      <c r="I42" s="12">
        <f>F42 * G42 * 38755.688437</f>
        <v>1550.2275374799999</v>
      </c>
      <c r="J42" s="12">
        <f t="shared" si="4"/>
        <v>0</v>
      </c>
      <c r="K42" s="12">
        <f>F42 * G42 * 3795.11807999999</f>
        <v>151.80472319999961</v>
      </c>
      <c r="L42" s="13">
        <f t="shared" si="1"/>
        <v>2188.5858606799993</v>
      </c>
    </row>
    <row r="43" spans="2:12" ht="25.5">
      <c r="B43" s="7">
        <v>40</v>
      </c>
      <c r="C43" s="8" t="s">
        <v>101</v>
      </c>
      <c r="D43" s="9" t="s">
        <v>102</v>
      </c>
      <c r="E43" s="9" t="s">
        <v>103</v>
      </c>
      <c r="F43" s="10">
        <v>0.05</v>
      </c>
      <c r="G43" s="11">
        <v>5</v>
      </c>
      <c r="H43" s="12">
        <f>F43 * G43 * 25868.15</f>
        <v>6467.0375000000004</v>
      </c>
      <c r="I43" s="12">
        <f>F43 * G43 * 45657.39542</f>
        <v>11414.348855</v>
      </c>
      <c r="J43" s="12">
        <f t="shared" si="4"/>
        <v>0</v>
      </c>
      <c r="K43" s="12">
        <f>F43 * G43 * 8070.8628</f>
        <v>2017.7157</v>
      </c>
      <c r="L43" s="13">
        <f t="shared" si="1"/>
        <v>19899.102055000003</v>
      </c>
    </row>
    <row r="44" spans="2:12" ht="25.5">
      <c r="B44" s="7">
        <v>41</v>
      </c>
      <c r="C44" s="8" t="s">
        <v>122</v>
      </c>
      <c r="D44" s="9" t="s">
        <v>123</v>
      </c>
      <c r="E44" s="9" t="s">
        <v>103</v>
      </c>
      <c r="F44" s="10">
        <v>0.02</v>
      </c>
      <c r="G44" s="11">
        <v>2</v>
      </c>
      <c r="H44" s="12">
        <f>F44 * G44 * 30101.12</f>
        <v>1204.0447999999999</v>
      </c>
      <c r="I44" s="12">
        <f>F44 * G44 * 47631.87542</f>
        <v>1905.2750168</v>
      </c>
      <c r="J44" s="12">
        <f t="shared" si="4"/>
        <v>0</v>
      </c>
      <c r="K44" s="12">
        <f>F44 * G44 * 9391.54944</f>
        <v>375.66197760000006</v>
      </c>
      <c r="L44" s="13">
        <f t="shared" si="1"/>
        <v>3484.9817944000001</v>
      </c>
    </row>
    <row r="45" spans="2:12" ht="25.5">
      <c r="B45" s="14">
        <v>42</v>
      </c>
      <c r="C45" s="15" t="s">
        <v>104</v>
      </c>
      <c r="D45" s="16" t="s">
        <v>105</v>
      </c>
      <c r="E45" s="16" t="s">
        <v>106</v>
      </c>
      <c r="F45" s="17">
        <v>2</v>
      </c>
      <c r="G45" s="18">
        <v>2</v>
      </c>
      <c r="H45" s="19">
        <f>F45 * G45 * 134.957</f>
        <v>539.82799999999997</v>
      </c>
      <c r="I45" s="19">
        <f>F45 * G45 * 1261.0566</f>
        <v>5044.2263999999996</v>
      </c>
      <c r="J45" s="19">
        <f t="shared" si="4"/>
        <v>0</v>
      </c>
      <c r="K45" s="19">
        <f>F45 * G45 * 42.106584</f>
        <v>168.42633599999999</v>
      </c>
      <c r="L45" s="20">
        <f t="shared" si="1"/>
        <v>5752.4807359999995</v>
      </c>
    </row>
    <row r="46" spans="2:12" ht="15">
      <c r="B46" s="28" t="s">
        <v>26</v>
      </c>
      <c r="C46" s="28"/>
      <c r="D46" s="28"/>
      <c r="E46" s="28"/>
      <c r="F46" s="28"/>
      <c r="G46" s="28"/>
      <c r="H46" s="24">
        <f t="shared" ref="H46:L46" si="5">SUM(H4:H45)</f>
        <v>67338.468462310004</v>
      </c>
      <c r="I46" s="24">
        <f t="shared" si="5"/>
        <v>126230.50616295999</v>
      </c>
      <c r="J46" s="24">
        <f t="shared" si="5"/>
        <v>58.413842630000005</v>
      </c>
      <c r="K46" s="24">
        <f t="shared" si="5"/>
        <v>21014.022777949995</v>
      </c>
      <c r="L46" s="24">
        <f t="shared" si="5"/>
        <v>214641.41124584994</v>
      </c>
    </row>
  </sheetData>
  <mergeCells count="2">
    <mergeCell ref="B2:K3"/>
    <mergeCell ref="B46:G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L46"/>
  <sheetViews>
    <sheetView workbookViewId="0">
      <selection activeCell="D7" sqref="D7"/>
    </sheetView>
  </sheetViews>
  <sheetFormatPr defaultRowHeight="15.75"/>
  <cols>
    <col min="1" max="1" width="0.5703125" customWidth="1"/>
    <col min="2" max="2" width="6" style="1" customWidth="1"/>
    <col min="3" max="3" width="13" style="2" customWidth="1"/>
    <col min="4" max="4" width="50" style="3" customWidth="1"/>
    <col min="5" max="5" width="20" style="3" customWidth="1"/>
    <col min="6" max="7" width="12" style="4" customWidth="1"/>
    <col min="8" max="9" width="14" style="5" customWidth="1"/>
    <col min="10" max="10" width="13" style="5" customWidth="1"/>
    <col min="11" max="11" width="14" style="5" customWidth="1"/>
    <col min="12" max="12" width="14.85546875" style="5" customWidth="1"/>
  </cols>
  <sheetData>
    <row r="1" spans="2:12" ht="36">
      <c r="B1" s="21" t="s">
        <v>1</v>
      </c>
      <c r="C1" s="22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3" t="s">
        <v>7</v>
      </c>
      <c r="I1" s="23" t="s">
        <v>8</v>
      </c>
      <c r="J1" s="23" t="s">
        <v>9</v>
      </c>
      <c r="K1" s="23" t="s">
        <v>10</v>
      </c>
      <c r="L1" s="23" t="s">
        <v>11</v>
      </c>
    </row>
    <row r="2" spans="2:12" thickBot="1">
      <c r="B2" s="29" t="s">
        <v>132</v>
      </c>
      <c r="C2" s="29"/>
      <c r="D2" s="29"/>
      <c r="E2" s="29"/>
      <c r="F2" s="29"/>
      <c r="G2" s="29"/>
      <c r="H2" s="29"/>
      <c r="I2" s="29"/>
      <c r="J2" s="29"/>
      <c r="K2" s="29"/>
      <c r="L2" s="25"/>
    </row>
    <row r="3" spans="2:12" ht="16.5" thickTop="1" thickBot="1">
      <c r="B3" s="30"/>
      <c r="C3" s="30"/>
      <c r="D3" s="30"/>
      <c r="E3" s="30"/>
      <c r="F3" s="30"/>
      <c r="G3" s="30"/>
      <c r="H3" s="30"/>
      <c r="I3" s="30"/>
      <c r="J3" s="30"/>
      <c r="K3" s="30"/>
      <c r="L3" s="26"/>
    </row>
    <row r="4" spans="2:12" ht="39" thickTop="1">
      <c r="B4" s="7">
        <v>1</v>
      </c>
      <c r="C4" s="8" t="s">
        <v>12</v>
      </c>
      <c r="D4" s="9" t="s">
        <v>13</v>
      </c>
      <c r="E4" s="9" t="s">
        <v>14</v>
      </c>
      <c r="F4" s="10">
        <v>0.04</v>
      </c>
      <c r="G4" s="11">
        <v>2</v>
      </c>
      <c r="H4" s="12">
        <f>F4 * G4 * 15639.52</f>
        <v>1251.1616000000001</v>
      </c>
      <c r="I4" s="12">
        <f>F4 * G4 * 21705.165506</f>
        <v>1736.4132404800002</v>
      </c>
      <c r="J4" s="12">
        <f t="shared" ref="J4:J7" si="0">F4 * G4 * 0</f>
        <v>0</v>
      </c>
      <c r="K4" s="12">
        <f>F4 * G4 * 4879.53024</f>
        <v>390.36241920000003</v>
      </c>
      <c r="L4" s="13">
        <f t="shared" ref="L4:L45" si="1">SUM(H4:K4)</f>
        <v>3377.9372596800008</v>
      </c>
    </row>
    <row r="5" spans="2:12" ht="38.25">
      <c r="B5" s="7">
        <v>2</v>
      </c>
      <c r="C5" s="8" t="s">
        <v>15</v>
      </c>
      <c r="D5" s="9" t="s">
        <v>16</v>
      </c>
      <c r="E5" s="9" t="s">
        <v>14</v>
      </c>
      <c r="F5" s="10">
        <v>0.03</v>
      </c>
      <c r="G5" s="11">
        <v>3</v>
      </c>
      <c r="H5" s="12">
        <f>F5 * G5 * 16576.82</f>
        <v>1491.9137999999998</v>
      </c>
      <c r="I5" s="12">
        <f>F5 * G5 * 34762.843598</f>
        <v>3128.6559238199998</v>
      </c>
      <c r="J5" s="12">
        <f t="shared" si="0"/>
        <v>0</v>
      </c>
      <c r="K5" s="12">
        <f>F5 * G5 * 5171.96784</f>
        <v>465.47710560000002</v>
      </c>
      <c r="L5" s="13">
        <f t="shared" si="1"/>
        <v>5086.0468294199991</v>
      </c>
    </row>
    <row r="6" spans="2:12" ht="38.25">
      <c r="B6" s="7">
        <v>3</v>
      </c>
      <c r="C6" s="8" t="s">
        <v>124</v>
      </c>
      <c r="D6" s="9" t="s">
        <v>125</v>
      </c>
      <c r="E6" s="9" t="s">
        <v>14</v>
      </c>
      <c r="F6" s="10">
        <v>0.09</v>
      </c>
      <c r="G6" s="11">
        <v>3</v>
      </c>
      <c r="H6" s="12">
        <f>F6 * G6 * 15639.52</f>
        <v>4222.6704</v>
      </c>
      <c r="I6" s="12">
        <f>F6 * G6 * 21705.165506</f>
        <v>5860.3946866200004</v>
      </c>
      <c r="J6" s="12">
        <f t="shared" si="0"/>
        <v>0</v>
      </c>
      <c r="K6" s="12">
        <f>F6 * G6 * 4879.53024</f>
        <v>1317.4731648000002</v>
      </c>
      <c r="L6" s="13">
        <f t="shared" si="1"/>
        <v>11400.538251420001</v>
      </c>
    </row>
    <row r="7" spans="2:12" ht="38.25">
      <c r="B7" s="7">
        <v>4</v>
      </c>
      <c r="C7" s="8" t="s">
        <v>126</v>
      </c>
      <c r="D7" s="9" t="s">
        <v>127</v>
      </c>
      <c r="E7" s="9" t="s">
        <v>14</v>
      </c>
      <c r="F7" s="10">
        <v>0.06</v>
      </c>
      <c r="G7" s="11">
        <v>3</v>
      </c>
      <c r="H7" s="12">
        <f>F7 * G7 * 16576.82</f>
        <v>2983.8275999999996</v>
      </c>
      <c r="I7" s="12">
        <f>F7 * G7 * 34762.843598</f>
        <v>6257.3118476399995</v>
      </c>
      <c r="J7" s="12">
        <f t="shared" si="0"/>
        <v>0</v>
      </c>
      <c r="K7" s="12">
        <f>F7 * G7 * 5171.96784</f>
        <v>930.95421120000003</v>
      </c>
      <c r="L7" s="13">
        <f t="shared" si="1"/>
        <v>10172.093658839998</v>
      </c>
    </row>
    <row r="8" spans="2:12">
      <c r="B8" s="7">
        <v>5</v>
      </c>
      <c r="C8" s="8" t="s">
        <v>27</v>
      </c>
      <c r="D8" s="9" t="s">
        <v>28</v>
      </c>
      <c r="E8" s="9" t="s">
        <v>29</v>
      </c>
      <c r="F8" s="10">
        <v>0.02</v>
      </c>
      <c r="G8" s="11">
        <v>2</v>
      </c>
      <c r="H8" s="12">
        <f>F8 * G8 * 3910.157507</f>
        <v>156.40630028000001</v>
      </c>
      <c r="I8" s="12">
        <f>F8 * G8 * 41845.140276</f>
        <v>1673.80561104</v>
      </c>
      <c r="J8" s="12">
        <f>F8 * G8 * 204.802785</f>
        <v>8.1921113999999999</v>
      </c>
      <c r="K8" s="12">
        <f>F8 * G8 * 1235.142821</f>
        <v>49.40571284</v>
      </c>
      <c r="L8" s="13">
        <f t="shared" si="1"/>
        <v>1887.80973556</v>
      </c>
    </row>
    <row r="9" spans="2:12" ht="25.5">
      <c r="B9" s="7">
        <v>6</v>
      </c>
      <c r="C9" s="8" t="s">
        <v>30</v>
      </c>
      <c r="D9" s="9" t="s">
        <v>31</v>
      </c>
      <c r="E9" s="9" t="s">
        <v>32</v>
      </c>
      <c r="F9" s="10">
        <v>0.02</v>
      </c>
      <c r="G9" s="11">
        <v>2</v>
      </c>
      <c r="H9" s="12">
        <f>F9 * G9 * 7529.896158</f>
        <v>301.19584631999999</v>
      </c>
      <c r="I9" s="12">
        <f>F9 * G9 * 81375.866004</f>
        <v>3255.03464016</v>
      </c>
      <c r="J9" s="12">
        <f>F9 * G9 * 391.708823</f>
        <v>15.66835292</v>
      </c>
      <c r="K9" s="12">
        <f>F9 * G9 * 2376.640223</f>
        <v>95.065608920000003</v>
      </c>
      <c r="L9" s="13">
        <f t="shared" si="1"/>
        <v>3666.96444832</v>
      </c>
    </row>
    <row r="10" spans="2:12" ht="25.5">
      <c r="B10" s="7">
        <v>7</v>
      </c>
      <c r="C10" s="8" t="s">
        <v>18</v>
      </c>
      <c r="D10" s="9" t="s">
        <v>19</v>
      </c>
      <c r="E10" s="9" t="s">
        <v>17</v>
      </c>
      <c r="F10" s="10">
        <v>0.03</v>
      </c>
      <c r="G10" s="11">
        <v>3</v>
      </c>
      <c r="H10" s="12">
        <f>F10 * G10 * 13711.78</f>
        <v>1234.0602000000001</v>
      </c>
      <c r="I10" s="12">
        <f>F10 * G10 * 2871.662897</f>
        <v>258.44966073000001</v>
      </c>
      <c r="J10" s="12">
        <f>F10 * G10 * 0</f>
        <v>0</v>
      </c>
      <c r="K10" s="12">
        <f>F10 * G10 * 4278.07536</f>
        <v>385.02678239999995</v>
      </c>
      <c r="L10" s="13">
        <f t="shared" si="1"/>
        <v>1877.5366431300001</v>
      </c>
    </row>
    <row r="11" spans="2:12" ht="25.5">
      <c r="B11" s="7">
        <v>8</v>
      </c>
      <c r="C11" s="8" t="s">
        <v>20</v>
      </c>
      <c r="D11" s="9" t="s">
        <v>21</v>
      </c>
      <c r="E11" s="9" t="s">
        <v>22</v>
      </c>
      <c r="F11" s="10">
        <v>0.03</v>
      </c>
      <c r="G11" s="11">
        <v>3</v>
      </c>
      <c r="H11" s="12">
        <f>F11 * G11 * 2387.741</f>
        <v>214.89668999999998</v>
      </c>
      <c r="I11" s="12">
        <f>F11 * G11 * 756.000504</f>
        <v>68.040045359999993</v>
      </c>
      <c r="J11" s="12">
        <f t="shared" ref="J11:J12" si="2">F11 * G11 * 0</f>
        <v>0</v>
      </c>
      <c r="K11" s="12">
        <f>F11 * G11 * 744.975192</f>
        <v>67.047767280000002</v>
      </c>
      <c r="L11" s="13">
        <f t="shared" si="1"/>
        <v>349.98450263999996</v>
      </c>
    </row>
    <row r="12" spans="2:12" ht="25.5">
      <c r="B12" s="7">
        <v>9</v>
      </c>
      <c r="C12" s="8" t="s">
        <v>23</v>
      </c>
      <c r="D12" s="9" t="s">
        <v>24</v>
      </c>
      <c r="E12" s="9" t="s">
        <v>25</v>
      </c>
      <c r="F12" s="10">
        <v>0.03</v>
      </c>
      <c r="G12" s="11">
        <v>3</v>
      </c>
      <c r="H12" s="12">
        <f>F12 * G12 * 7328.71</f>
        <v>659.58389999999997</v>
      </c>
      <c r="I12" s="12">
        <f>F12 * G12 * 110433.355</f>
        <v>9939.0019499999999</v>
      </c>
      <c r="J12" s="12">
        <f t="shared" si="2"/>
        <v>0</v>
      </c>
      <c r="K12" s="12">
        <f>F12 * G12 * 2286.55752</f>
        <v>205.79017679999998</v>
      </c>
      <c r="L12" s="13">
        <f t="shared" si="1"/>
        <v>10804.376026799999</v>
      </c>
    </row>
    <row r="13" spans="2:12">
      <c r="B13" s="7">
        <v>10</v>
      </c>
      <c r="C13" s="8" t="s">
        <v>27</v>
      </c>
      <c r="D13" s="9" t="s">
        <v>28</v>
      </c>
      <c r="E13" s="9" t="s">
        <v>29</v>
      </c>
      <c r="F13" s="10">
        <v>0.02</v>
      </c>
      <c r="G13" s="11">
        <v>2</v>
      </c>
      <c r="H13" s="12">
        <f>F13 * G13 * 3910.157507</f>
        <v>156.40630028000001</v>
      </c>
      <c r="I13" s="12">
        <f>F13 * G13 * 41845.140276</f>
        <v>1673.80561104</v>
      </c>
      <c r="J13" s="12">
        <f>F13 * G13 * 204.802785</f>
        <v>8.1921113999999999</v>
      </c>
      <c r="K13" s="12">
        <f>F13 * G13 * 1235.142821</f>
        <v>49.40571284</v>
      </c>
      <c r="L13" s="13">
        <f t="shared" si="1"/>
        <v>1887.80973556</v>
      </c>
    </row>
    <row r="14" spans="2:12" ht="25.5">
      <c r="B14" s="7">
        <v>11</v>
      </c>
      <c r="C14" s="8" t="s">
        <v>30</v>
      </c>
      <c r="D14" s="9" t="s">
        <v>31</v>
      </c>
      <c r="E14" s="9" t="s">
        <v>32</v>
      </c>
      <c r="F14" s="10">
        <v>0.01</v>
      </c>
      <c r="G14" s="11">
        <v>1</v>
      </c>
      <c r="H14" s="12">
        <f>F14 * G14 * 7529.896158</f>
        <v>75.298961579999997</v>
      </c>
      <c r="I14" s="12">
        <f>F14 * G14 * 81375.866004</f>
        <v>813.75866004</v>
      </c>
      <c r="J14" s="12">
        <f>F14 * G14 * 391.708823</f>
        <v>3.9170882300000001</v>
      </c>
      <c r="K14" s="12">
        <f>F14 * G14 * 2376.640223</f>
        <v>23.766402230000001</v>
      </c>
      <c r="L14" s="13">
        <f t="shared" si="1"/>
        <v>916.74111207999999</v>
      </c>
    </row>
    <row r="15" spans="2:12" ht="25.5">
      <c r="B15" s="7">
        <v>12</v>
      </c>
      <c r="C15" s="8" t="s">
        <v>107</v>
      </c>
      <c r="D15" s="9" t="s">
        <v>108</v>
      </c>
      <c r="E15" s="9" t="s">
        <v>109</v>
      </c>
      <c r="F15" s="10">
        <v>0.2</v>
      </c>
      <c r="G15" s="11">
        <v>1</v>
      </c>
      <c r="H15" s="12">
        <f>F15 * G15 * 14346.021412</f>
        <v>2869.2042824</v>
      </c>
      <c r="I15" s="12">
        <f>F15 * G15 * 48661.911659</f>
        <v>9732.3823317999995</v>
      </c>
      <c r="J15" s="12">
        <f>F15 * G15 * 0</f>
        <v>0</v>
      </c>
      <c r="K15" s="12">
        <f>F15 * G15 * 4475.95868</f>
        <v>895.19173599999999</v>
      </c>
      <c r="L15" s="13">
        <f t="shared" si="1"/>
        <v>13496.7783502</v>
      </c>
    </row>
    <row r="16" spans="2:12" ht="25.5">
      <c r="B16" s="7">
        <v>13</v>
      </c>
      <c r="C16" s="8" t="s">
        <v>33</v>
      </c>
      <c r="D16" s="9" t="s">
        <v>34</v>
      </c>
      <c r="E16" s="9" t="s">
        <v>29</v>
      </c>
      <c r="F16" s="10">
        <v>0.02</v>
      </c>
      <c r="G16" s="11">
        <v>2</v>
      </c>
      <c r="H16" s="12">
        <f>F16 * G16 * 2289.63494</f>
        <v>91.585397599999993</v>
      </c>
      <c r="I16" s="12">
        <f>F16 * G16 * 8888.9847</f>
        <v>355.55938800000007</v>
      </c>
      <c r="J16" s="12">
        <f>F16 * G16 * 225.070527</f>
        <v>9.0028210800000004</v>
      </c>
      <c r="K16" s="12">
        <f>F16 * G16 * 737.632408</f>
        <v>29.505296320000003</v>
      </c>
      <c r="L16" s="13">
        <f t="shared" si="1"/>
        <v>485.65290300000009</v>
      </c>
    </row>
    <row r="17" spans="2:12" ht="25.5">
      <c r="B17" s="7">
        <v>14</v>
      </c>
      <c r="C17" s="8" t="s">
        <v>110</v>
      </c>
      <c r="D17" s="9" t="s">
        <v>111</v>
      </c>
      <c r="E17" s="9" t="s">
        <v>112</v>
      </c>
      <c r="F17" s="10">
        <v>1</v>
      </c>
      <c r="G17" s="11">
        <v>1</v>
      </c>
      <c r="H17" s="12">
        <f>F17 * G17 * 1440.234</f>
        <v>1440.2339999999999</v>
      </c>
      <c r="I17" s="12">
        <f>F17 * G17 * 373.563353</f>
        <v>373.56335300000001</v>
      </c>
      <c r="J17" s="12">
        <f t="shared" ref="J17:J20" si="3">F17 * G17 * 0</f>
        <v>0</v>
      </c>
      <c r="K17" s="12">
        <f>F17 * G17 * 449.353008</f>
        <v>449.35300799999999</v>
      </c>
      <c r="L17" s="13">
        <f t="shared" si="1"/>
        <v>2263.150361</v>
      </c>
    </row>
    <row r="18" spans="2:12">
      <c r="B18" s="7">
        <v>15</v>
      </c>
      <c r="C18" s="8" t="s">
        <v>35</v>
      </c>
      <c r="D18" s="9" t="s">
        <v>36</v>
      </c>
      <c r="E18" s="9" t="s">
        <v>37</v>
      </c>
      <c r="F18" s="10">
        <v>2</v>
      </c>
      <c r="G18" s="11">
        <v>2</v>
      </c>
      <c r="H18" s="12">
        <f>F18 * G18 * 125.3537</f>
        <v>501.41480000000001</v>
      </c>
      <c r="I18" s="12">
        <f>F18 * G18 * 68.385752</f>
        <v>273.54300799999999</v>
      </c>
      <c r="J18" s="12">
        <f t="shared" si="3"/>
        <v>0</v>
      </c>
      <c r="K18" s="12">
        <f>F18 * G18 * 39.110354</f>
        <v>156.441416</v>
      </c>
      <c r="L18" s="13">
        <f t="shared" si="1"/>
        <v>931.399224</v>
      </c>
    </row>
    <row r="19" spans="2:12">
      <c r="B19" s="7">
        <v>16</v>
      </c>
      <c r="C19" s="8" t="s">
        <v>38</v>
      </c>
      <c r="D19" s="9" t="s">
        <v>39</v>
      </c>
      <c r="E19" s="9" t="s">
        <v>40</v>
      </c>
      <c r="F19" s="10">
        <v>1</v>
      </c>
      <c r="G19" s="11">
        <v>1</v>
      </c>
      <c r="H19" s="12">
        <f>F19 * G19 * 35.4615</f>
        <v>35.461500000000001</v>
      </c>
      <c r="I19" s="12">
        <f>F19 * G19 * 158.431504</f>
        <v>158.43150399999999</v>
      </c>
      <c r="J19" s="12">
        <f t="shared" si="3"/>
        <v>0</v>
      </c>
      <c r="K19" s="12">
        <f>F19 * G19 * 11.063988</f>
        <v>11.063988</v>
      </c>
      <c r="L19" s="13">
        <f t="shared" si="1"/>
        <v>204.95699199999999</v>
      </c>
    </row>
    <row r="20" spans="2:12">
      <c r="B20" s="7">
        <v>17</v>
      </c>
      <c r="C20" s="8" t="s">
        <v>41</v>
      </c>
      <c r="D20" s="9" t="s">
        <v>42</v>
      </c>
      <c r="E20" s="9" t="s">
        <v>43</v>
      </c>
      <c r="F20" s="10">
        <v>0.01</v>
      </c>
      <c r="G20" s="11">
        <v>1</v>
      </c>
      <c r="H20" s="12">
        <f>F20 * G20 * 25248.588</f>
        <v>252.48588000000001</v>
      </c>
      <c r="I20" s="12">
        <f>F20 * G20 * 65571.509155</f>
        <v>655.71509155000012</v>
      </c>
      <c r="J20" s="12">
        <f t="shared" si="3"/>
        <v>0</v>
      </c>
      <c r="K20" s="12">
        <f>F20 * G20 * 7877.559456</f>
        <v>78.775594560000002</v>
      </c>
      <c r="L20" s="13">
        <f t="shared" si="1"/>
        <v>986.97656611000002</v>
      </c>
    </row>
    <row r="21" spans="2:12">
      <c r="B21" s="7">
        <v>18</v>
      </c>
      <c r="C21" s="8" t="s">
        <v>44</v>
      </c>
      <c r="D21" s="9" t="s">
        <v>45</v>
      </c>
      <c r="E21" s="9" t="s">
        <v>46</v>
      </c>
      <c r="F21" s="10">
        <v>0.02</v>
      </c>
      <c r="G21" s="11">
        <v>2</v>
      </c>
      <c r="H21" s="12">
        <f>F21 * G21 * 47282</f>
        <v>1891.28</v>
      </c>
      <c r="I21" s="12">
        <f>F21 * G21 * 76576.12775</f>
        <v>3063.04511</v>
      </c>
      <c r="J21" s="12">
        <f>F21 * G21 * 0</f>
        <v>0</v>
      </c>
      <c r="K21" s="12">
        <f>F21 * G21 * 14751.984</f>
        <v>590.07936000000007</v>
      </c>
      <c r="L21" s="13">
        <f t="shared" si="1"/>
        <v>5544.4044699999995</v>
      </c>
    </row>
    <row r="22" spans="2:12">
      <c r="B22" s="7">
        <v>19</v>
      </c>
      <c r="C22" s="8" t="s">
        <v>47</v>
      </c>
      <c r="D22" s="9" t="s">
        <v>48</v>
      </c>
      <c r="E22" s="9" t="s">
        <v>49</v>
      </c>
      <c r="F22" s="10">
        <v>2</v>
      </c>
      <c r="G22" s="11">
        <v>2</v>
      </c>
      <c r="H22" s="12">
        <f>F22 * G22 * 44.9179</f>
        <v>179.67160000000001</v>
      </c>
      <c r="I22" s="12">
        <f>F22 * G22 * 44.1864</f>
        <v>176.7456</v>
      </c>
      <c r="J22" s="12">
        <f t="shared" ref="J22:J45" si="4">F22 * G22 * 0</f>
        <v>0</v>
      </c>
      <c r="K22" s="12">
        <f>F22 * G22 * 14.014385</f>
        <v>56.057540000000003</v>
      </c>
      <c r="L22" s="13">
        <f t="shared" si="1"/>
        <v>412.47474</v>
      </c>
    </row>
    <row r="23" spans="2:12" ht="25.5">
      <c r="B23" s="7">
        <v>20</v>
      </c>
      <c r="C23" s="8" t="s">
        <v>50</v>
      </c>
      <c r="D23" s="9" t="s">
        <v>51</v>
      </c>
      <c r="E23" s="9" t="s">
        <v>52</v>
      </c>
      <c r="F23" s="10">
        <v>2</v>
      </c>
      <c r="G23" s="11">
        <v>2</v>
      </c>
      <c r="H23" s="12">
        <f>F23 * G23 * 237.81681</f>
        <v>951.26724000000002</v>
      </c>
      <c r="I23" s="12">
        <f>F23 * G23 * 479.105858</f>
        <v>1916.423432</v>
      </c>
      <c r="J23" s="12">
        <f t="shared" si="4"/>
        <v>0</v>
      </c>
      <c r="K23" s="12">
        <f>F23 * G23 * 74.198845</f>
        <v>296.79538000000002</v>
      </c>
      <c r="L23" s="13">
        <f t="shared" si="1"/>
        <v>3164.4860520000002</v>
      </c>
    </row>
    <row r="24" spans="2:12" ht="25.5">
      <c r="B24" s="7">
        <v>21</v>
      </c>
      <c r="C24" s="8" t="s">
        <v>53</v>
      </c>
      <c r="D24" s="9" t="s">
        <v>54</v>
      </c>
      <c r="E24" s="9" t="s">
        <v>52</v>
      </c>
      <c r="F24" s="10">
        <v>2</v>
      </c>
      <c r="G24" s="11">
        <v>2</v>
      </c>
      <c r="H24" s="12">
        <f>F24 * G24 * 37.8256</f>
        <v>151.30240000000001</v>
      </c>
      <c r="I24" s="12">
        <f>F24 * G24 * 43.9812</f>
        <v>175.9248</v>
      </c>
      <c r="J24" s="12">
        <f t="shared" si="4"/>
        <v>0</v>
      </c>
      <c r="K24" s="12">
        <f>F24 * G24 * 11.801587</f>
        <v>47.206347999999998</v>
      </c>
      <c r="L24" s="13">
        <f t="shared" si="1"/>
        <v>374.43354800000003</v>
      </c>
    </row>
    <row r="25" spans="2:12">
      <c r="B25" s="7">
        <v>22</v>
      </c>
      <c r="C25" s="8" t="s">
        <v>55</v>
      </c>
      <c r="D25" s="9" t="s">
        <v>56</v>
      </c>
      <c r="E25" s="9" t="s">
        <v>57</v>
      </c>
      <c r="F25" s="10">
        <v>6</v>
      </c>
      <c r="G25" s="11">
        <v>6</v>
      </c>
      <c r="H25" s="12">
        <f>F25 * G25 * 22.45895</f>
        <v>808.52220000000011</v>
      </c>
      <c r="I25" s="12">
        <f>F25 * G25 * 141.0294</f>
        <v>5077.0583999999999</v>
      </c>
      <c r="J25" s="12">
        <f t="shared" si="4"/>
        <v>0</v>
      </c>
      <c r="K25" s="12">
        <f>F25 * G25 * 7.007193</f>
        <v>252.258948</v>
      </c>
      <c r="L25" s="13">
        <f t="shared" si="1"/>
        <v>6137.8395479999999</v>
      </c>
    </row>
    <row r="26" spans="2:12" ht="38.25">
      <c r="B26" s="7">
        <v>23</v>
      </c>
      <c r="C26" s="8" t="s">
        <v>58</v>
      </c>
      <c r="D26" s="9" t="s">
        <v>59</v>
      </c>
      <c r="E26" s="9" t="s">
        <v>14</v>
      </c>
      <c r="F26" s="10">
        <v>0.04</v>
      </c>
      <c r="G26" s="11">
        <v>2</v>
      </c>
      <c r="H26" s="12">
        <f>F26 * G26 * 17618.977</f>
        <v>1409.5181599999999</v>
      </c>
      <c r="I26" s="12">
        <f>F26 * G26 * 18074.952694</f>
        <v>1445.9962155200001</v>
      </c>
      <c r="J26" s="12">
        <f t="shared" si="4"/>
        <v>0</v>
      </c>
      <c r="K26" s="12">
        <f>F26 * G26 * 5497.120824</f>
        <v>439.76966591999997</v>
      </c>
      <c r="L26" s="13">
        <f t="shared" si="1"/>
        <v>3295.2840414399998</v>
      </c>
    </row>
    <row r="27" spans="2:12" ht="38.25">
      <c r="B27" s="7">
        <v>24</v>
      </c>
      <c r="C27" s="8" t="s">
        <v>60</v>
      </c>
      <c r="D27" s="9" t="s">
        <v>61</v>
      </c>
      <c r="E27" s="9" t="s">
        <v>14</v>
      </c>
      <c r="F27" s="10">
        <v>0.04</v>
      </c>
      <c r="G27" s="11">
        <v>2</v>
      </c>
      <c r="H27" s="12">
        <f>F27 * G27 * 19453.3435</f>
        <v>1556.26748</v>
      </c>
      <c r="I27" s="12">
        <f>F27 * G27 * 25367.354534</f>
        <v>2029.3883627199998</v>
      </c>
      <c r="J27" s="12">
        <f t="shared" si="4"/>
        <v>0</v>
      </c>
      <c r="K27" s="12">
        <f>F27 * G27 * 6069.443172</f>
        <v>485.55545376000003</v>
      </c>
      <c r="L27" s="13">
        <f t="shared" si="1"/>
        <v>4071.2112964799999</v>
      </c>
    </row>
    <row r="28" spans="2:12">
      <c r="B28" s="7">
        <v>25</v>
      </c>
      <c r="C28" s="8" t="s">
        <v>62</v>
      </c>
      <c r="D28" s="9" t="s">
        <v>63</v>
      </c>
      <c r="E28" s="9" t="s">
        <v>64</v>
      </c>
      <c r="F28" s="10">
        <v>0.02</v>
      </c>
      <c r="G28" s="11">
        <v>2</v>
      </c>
      <c r="H28" s="12">
        <f>F28 * G28 * 6713.504</f>
        <v>268.54016000000001</v>
      </c>
      <c r="I28" s="12">
        <f>F28 * G28 * 6955.135292</f>
        <v>278.20541168</v>
      </c>
      <c r="J28" s="12">
        <f t="shared" si="4"/>
        <v>0</v>
      </c>
      <c r="K28" s="12">
        <f>F28 * G28 * 2094.613248</f>
        <v>83.784529920000011</v>
      </c>
      <c r="L28" s="13">
        <f t="shared" si="1"/>
        <v>630.53010160000008</v>
      </c>
    </row>
    <row r="29" spans="2:12" ht="25.5">
      <c r="B29" s="7">
        <v>26</v>
      </c>
      <c r="C29" s="8" t="s">
        <v>65</v>
      </c>
      <c r="D29" s="9" t="s">
        <v>66</v>
      </c>
      <c r="E29" s="9" t="s">
        <v>67</v>
      </c>
      <c r="F29" s="10">
        <v>2</v>
      </c>
      <c r="G29" s="11">
        <v>2</v>
      </c>
      <c r="H29" s="12">
        <f>F29 * G29 * 30.7333</f>
        <v>122.9332</v>
      </c>
      <c r="I29" s="12">
        <f>F29 * G29 * 6.05454</f>
        <v>24.218160000000001</v>
      </c>
      <c r="J29" s="12">
        <f t="shared" si="4"/>
        <v>0</v>
      </c>
      <c r="K29" s="12">
        <f>F29 * G29 * 9.58879</f>
        <v>38.355159999999998</v>
      </c>
      <c r="L29" s="13">
        <f t="shared" si="1"/>
        <v>185.50652000000002</v>
      </c>
    </row>
    <row r="30" spans="2:12" ht="25.5">
      <c r="B30" s="7">
        <v>27</v>
      </c>
      <c r="C30" s="8" t="s">
        <v>68</v>
      </c>
      <c r="D30" s="9" t="s">
        <v>69</v>
      </c>
      <c r="E30" s="9" t="s">
        <v>70</v>
      </c>
      <c r="F30" s="10">
        <v>1</v>
      </c>
      <c r="G30" s="11">
        <v>1</v>
      </c>
      <c r="H30" s="12">
        <f>F30 * G30 * 4122.7215</f>
        <v>4122.7214999999997</v>
      </c>
      <c r="I30" s="12">
        <f>F30 * G30 * 0</f>
        <v>0</v>
      </c>
      <c r="J30" s="12">
        <f t="shared" si="4"/>
        <v>0</v>
      </c>
      <c r="K30" s="12">
        <f>F30 * G30 * 1286.289108</f>
        <v>1286.2891079999999</v>
      </c>
      <c r="L30" s="13">
        <f t="shared" si="1"/>
        <v>5409.0106079999996</v>
      </c>
    </row>
    <row r="31" spans="2:12" ht="25.5">
      <c r="B31" s="7">
        <v>28</v>
      </c>
      <c r="C31" s="8" t="s">
        <v>71</v>
      </c>
      <c r="D31" s="9" t="s">
        <v>72</v>
      </c>
      <c r="E31" s="9" t="s">
        <v>73</v>
      </c>
      <c r="F31" s="10">
        <v>0.02</v>
      </c>
      <c r="G31" s="11">
        <v>2</v>
      </c>
      <c r="H31" s="12">
        <f>F31 * G31 * 17320.196583</f>
        <v>692.80786332000002</v>
      </c>
      <c r="I31" s="12">
        <f>F31 * G31 * 323569.609729</f>
        <v>12942.784389160001</v>
      </c>
      <c r="J31" s="12">
        <f t="shared" si="4"/>
        <v>0</v>
      </c>
      <c r="K31" s="12">
        <f>F31 * G31 * 5403.90133399999</f>
        <v>216.15605335999962</v>
      </c>
      <c r="L31" s="13">
        <f t="shared" si="1"/>
        <v>13851.748305840001</v>
      </c>
    </row>
    <row r="32" spans="2:12" ht="25.5">
      <c r="B32" s="7">
        <v>29</v>
      </c>
      <c r="C32" s="8" t="s">
        <v>74</v>
      </c>
      <c r="D32" s="9" t="s">
        <v>75</v>
      </c>
      <c r="E32" s="9" t="s">
        <v>76</v>
      </c>
      <c r="F32" s="10">
        <v>0.03</v>
      </c>
      <c r="G32" s="11">
        <v>3</v>
      </c>
      <c r="H32" s="12">
        <f>F32 * G32 * 19048.365</f>
        <v>1714.35285</v>
      </c>
      <c r="I32" s="12">
        <f>F32 * G32 * 17188.559066</f>
        <v>1546.9703159400001</v>
      </c>
      <c r="J32" s="12">
        <f t="shared" si="4"/>
        <v>0</v>
      </c>
      <c r="K32" s="12">
        <f>F32 * G32 * 5943.08988</f>
        <v>534.87808919999998</v>
      </c>
      <c r="L32" s="13">
        <f t="shared" si="1"/>
        <v>3796.2012551399998</v>
      </c>
    </row>
    <row r="33" spans="2:12" ht="25.5">
      <c r="B33" s="7">
        <v>30</v>
      </c>
      <c r="C33" s="8" t="s">
        <v>116</v>
      </c>
      <c r="D33" s="9" t="s">
        <v>117</v>
      </c>
      <c r="E33" s="9" t="s">
        <v>76</v>
      </c>
      <c r="F33" s="10">
        <v>0.02</v>
      </c>
      <c r="G33" s="11">
        <v>2</v>
      </c>
      <c r="H33" s="12">
        <f>F33 * G33 * 24221.995</f>
        <v>968.87979999999993</v>
      </c>
      <c r="I33" s="12">
        <f>F33 * G33 * 37397.213283</f>
        <v>1495.8885313199999</v>
      </c>
      <c r="J33" s="12">
        <f t="shared" si="4"/>
        <v>0</v>
      </c>
      <c r="K33" s="12">
        <f>F33 * G33 * 7557.26243999999</f>
        <v>302.29049759999964</v>
      </c>
      <c r="L33" s="13">
        <f t="shared" si="1"/>
        <v>2767.0588289199991</v>
      </c>
    </row>
    <row r="34" spans="2:12" ht="38.25">
      <c r="B34" s="7">
        <v>31</v>
      </c>
      <c r="C34" s="8" t="s">
        <v>77</v>
      </c>
      <c r="D34" s="9" t="s">
        <v>78</v>
      </c>
      <c r="E34" s="9" t="s">
        <v>79</v>
      </c>
      <c r="F34" s="10">
        <v>0.04</v>
      </c>
      <c r="G34" s="11">
        <v>2</v>
      </c>
      <c r="H34" s="12">
        <f>F34 * G34 * 19260.309046</f>
        <v>1540.8247236799998</v>
      </c>
      <c r="I34" s="12">
        <f>F34 * G34 * 13074.274888</f>
        <v>1045.9419910399999</v>
      </c>
      <c r="J34" s="12">
        <f t="shared" si="4"/>
        <v>0</v>
      </c>
      <c r="K34" s="12">
        <f>F34 * G34 * 6009.21642199999</f>
        <v>480.73731375999927</v>
      </c>
      <c r="L34" s="13">
        <f t="shared" si="1"/>
        <v>3067.5040284799993</v>
      </c>
    </row>
    <row r="35" spans="2:12" ht="38.25">
      <c r="B35" s="7">
        <v>32</v>
      </c>
      <c r="C35" s="8" t="s">
        <v>80</v>
      </c>
      <c r="D35" s="9" t="s">
        <v>81</v>
      </c>
      <c r="E35" s="9" t="s">
        <v>79</v>
      </c>
      <c r="F35" s="10">
        <v>0.04</v>
      </c>
      <c r="G35" s="11">
        <v>2</v>
      </c>
      <c r="H35" s="12">
        <f>F35 * G35 * 20223.3245</f>
        <v>1617.8659599999999</v>
      </c>
      <c r="I35" s="12">
        <f>F35 * G35 * 15834.564328</f>
        <v>1266.7651462400001</v>
      </c>
      <c r="J35" s="12">
        <f t="shared" si="4"/>
        <v>0</v>
      </c>
      <c r="K35" s="12">
        <f>F35 * G35 * 6309.677244</f>
        <v>504.77417952000002</v>
      </c>
      <c r="L35" s="13">
        <f t="shared" si="1"/>
        <v>3389.40528576</v>
      </c>
    </row>
    <row r="36" spans="2:12" ht="25.5">
      <c r="B36" s="7">
        <v>33</v>
      </c>
      <c r="C36" s="8" t="s">
        <v>82</v>
      </c>
      <c r="D36" s="9" t="s">
        <v>83</v>
      </c>
      <c r="E36" s="9" t="s">
        <v>84</v>
      </c>
      <c r="F36" s="10">
        <v>0.06</v>
      </c>
      <c r="G36" s="11">
        <v>6</v>
      </c>
      <c r="H36" s="12">
        <f>F36 * G36 * 68937.156</f>
        <v>24817.37616</v>
      </c>
      <c r="I36" s="12">
        <f>F36 * G36 * 2140.763458</f>
        <v>770.67484487999991</v>
      </c>
      <c r="J36" s="12">
        <f t="shared" si="4"/>
        <v>0</v>
      </c>
      <c r="K36" s="12">
        <f>F36 * G36 * 21508.3926719999</f>
        <v>7743.021361919964</v>
      </c>
      <c r="L36" s="13">
        <f t="shared" si="1"/>
        <v>33331.072366799963</v>
      </c>
    </row>
    <row r="37" spans="2:12" ht="25.5">
      <c r="B37" s="7">
        <v>34</v>
      </c>
      <c r="C37" s="8" t="s">
        <v>85</v>
      </c>
      <c r="D37" s="9" t="s">
        <v>86</v>
      </c>
      <c r="E37" s="9" t="s">
        <v>84</v>
      </c>
      <c r="F37" s="10">
        <v>0.01</v>
      </c>
      <c r="G37" s="11">
        <v>1</v>
      </c>
      <c r="H37" s="12">
        <f>F37 * G37 * 52506.661</f>
        <v>525.06660999999997</v>
      </c>
      <c r="I37" s="12">
        <f>F37 * G37 * 13384.689778</f>
        <v>133.84689778000001</v>
      </c>
      <c r="J37" s="12">
        <f t="shared" si="4"/>
        <v>0</v>
      </c>
      <c r="K37" s="12">
        <f>F37 * G37 * 16382.078232</f>
        <v>163.82078232000001</v>
      </c>
      <c r="L37" s="13">
        <f t="shared" si="1"/>
        <v>822.73429009999995</v>
      </c>
    </row>
    <row r="38" spans="2:12">
      <c r="B38" s="7">
        <v>35</v>
      </c>
      <c r="C38" s="8" t="s">
        <v>87</v>
      </c>
      <c r="D38" s="9" t="s">
        <v>88</v>
      </c>
      <c r="E38" s="9" t="s">
        <v>89</v>
      </c>
      <c r="F38" s="10">
        <v>1</v>
      </c>
      <c r="G38" s="11">
        <v>1</v>
      </c>
      <c r="H38" s="12">
        <f>F38 * G38 * 1443.060826</f>
        <v>1443.0608259999999</v>
      </c>
      <c r="I38" s="12">
        <f>F38 * G38 * 9459.733517</f>
        <v>9459.7335170000006</v>
      </c>
      <c r="J38" s="12">
        <f t="shared" si="4"/>
        <v>0</v>
      </c>
      <c r="K38" s="12">
        <f>F38 * G38 * 450.234977</f>
        <v>450.23497700000001</v>
      </c>
      <c r="L38" s="13">
        <f t="shared" si="1"/>
        <v>11353.029320000001</v>
      </c>
    </row>
    <row r="39" spans="2:12" ht="25.5">
      <c r="B39" s="7">
        <v>36</v>
      </c>
      <c r="C39" s="8" t="s">
        <v>90</v>
      </c>
      <c r="D39" s="9" t="s">
        <v>91</v>
      </c>
      <c r="E39" s="9" t="s">
        <v>92</v>
      </c>
      <c r="F39" s="10">
        <v>0.2</v>
      </c>
      <c r="G39" s="11">
        <v>2</v>
      </c>
      <c r="H39" s="12">
        <f>F39 * G39 * 482.866087</f>
        <v>193.14643480000001</v>
      </c>
      <c r="I39" s="12">
        <f>F39 * G39 * 2138.058412</f>
        <v>855.22336480000001</v>
      </c>
      <c r="J39" s="12">
        <f t="shared" si="4"/>
        <v>0</v>
      </c>
      <c r="K39" s="12">
        <f>F39 * G39 * 150.654219</f>
        <v>60.261687600000009</v>
      </c>
      <c r="L39" s="13">
        <f t="shared" si="1"/>
        <v>1108.6314872</v>
      </c>
    </row>
    <row r="40" spans="2:12" ht="25.5">
      <c r="B40" s="7">
        <v>37</v>
      </c>
      <c r="C40" s="8" t="s">
        <v>93</v>
      </c>
      <c r="D40" s="9" t="s">
        <v>94</v>
      </c>
      <c r="E40" s="9" t="s">
        <v>95</v>
      </c>
      <c r="F40" s="10">
        <v>0.01</v>
      </c>
      <c r="G40" s="11">
        <v>1</v>
      </c>
      <c r="H40" s="12">
        <f>F40 * G40 * 187460</f>
        <v>1874.6000000000001</v>
      </c>
      <c r="I40" s="12">
        <f>F40 * G40 * 12357.452188</f>
        <v>123.57452187999999</v>
      </c>
      <c r="J40" s="12">
        <f t="shared" si="4"/>
        <v>0</v>
      </c>
      <c r="K40" s="12">
        <f>F40 * G40 * 58487.52</f>
        <v>584.87519999999995</v>
      </c>
      <c r="L40" s="13">
        <f t="shared" si="1"/>
        <v>2583.0497218800001</v>
      </c>
    </row>
    <row r="41" spans="2:12">
      <c r="B41" s="7">
        <v>38</v>
      </c>
      <c r="C41" s="8" t="s">
        <v>96</v>
      </c>
      <c r="D41" s="9" t="s">
        <v>97</v>
      </c>
      <c r="E41" s="9" t="s">
        <v>98</v>
      </c>
      <c r="F41" s="10">
        <v>0.03</v>
      </c>
      <c r="G41" s="11">
        <v>3</v>
      </c>
      <c r="H41" s="12">
        <f>F41 * G41 * 12163.84</f>
        <v>1094.7456</v>
      </c>
      <c r="I41" s="12">
        <f>F41 * G41 * 13301.676695</f>
        <v>1197.15090255</v>
      </c>
      <c r="J41" s="12">
        <f t="shared" si="4"/>
        <v>0</v>
      </c>
      <c r="K41" s="12">
        <f>F41 * G41 * 3795.11807999999</f>
        <v>341.56062719999909</v>
      </c>
      <c r="L41" s="13">
        <f t="shared" si="1"/>
        <v>2633.4571297499992</v>
      </c>
    </row>
    <row r="42" spans="2:12">
      <c r="B42" s="14">
        <v>39</v>
      </c>
      <c r="C42" s="8" t="s">
        <v>99</v>
      </c>
      <c r="D42" s="9" t="s">
        <v>100</v>
      </c>
      <c r="E42" s="9" t="s">
        <v>98</v>
      </c>
      <c r="F42" s="10">
        <v>0.03</v>
      </c>
      <c r="G42" s="11">
        <v>3</v>
      </c>
      <c r="H42" s="12">
        <f>F42 * G42 * 12163.84</f>
        <v>1094.7456</v>
      </c>
      <c r="I42" s="12">
        <f>F42 * G42 * 19640.465625</f>
        <v>1767.6419062499999</v>
      </c>
      <c r="J42" s="12">
        <f t="shared" si="4"/>
        <v>0</v>
      </c>
      <c r="K42" s="12">
        <f>F42 * G42 * 3795.11807999999</f>
        <v>341.56062719999909</v>
      </c>
      <c r="L42" s="13">
        <f t="shared" si="1"/>
        <v>3203.9481334499992</v>
      </c>
    </row>
    <row r="43" spans="2:12">
      <c r="B43" s="7">
        <v>40</v>
      </c>
      <c r="C43" s="8" t="s">
        <v>118</v>
      </c>
      <c r="D43" s="9" t="s">
        <v>119</v>
      </c>
      <c r="E43" s="9" t="s">
        <v>98</v>
      </c>
      <c r="F43" s="10">
        <v>0.01</v>
      </c>
      <c r="G43" s="11">
        <v>1</v>
      </c>
      <c r="H43" s="12">
        <f>F43 * G43 * 12163.84</f>
        <v>121.6384</v>
      </c>
      <c r="I43" s="12">
        <f>F43 * G43 * 38755.688437</f>
        <v>387.55688436999998</v>
      </c>
      <c r="J43" s="12">
        <f t="shared" si="4"/>
        <v>0</v>
      </c>
      <c r="K43" s="12">
        <f>F43 * G43 * 3795.11807999999</f>
        <v>37.951180799999904</v>
      </c>
      <c r="L43" s="13">
        <f t="shared" si="1"/>
        <v>547.14646516999983</v>
      </c>
    </row>
    <row r="44" spans="2:12" ht="25.5">
      <c r="B44" s="14">
        <v>41</v>
      </c>
      <c r="C44" s="8" t="s">
        <v>101</v>
      </c>
      <c r="D44" s="9" t="s">
        <v>102</v>
      </c>
      <c r="E44" s="9" t="s">
        <v>103</v>
      </c>
      <c r="F44" s="10">
        <v>0.02</v>
      </c>
      <c r="G44" s="11">
        <v>2</v>
      </c>
      <c r="H44" s="12">
        <f>F44 * G44 * 25868.15</f>
        <v>1034.7260000000001</v>
      </c>
      <c r="I44" s="12">
        <f>F44 * G44 * 45657.39542</f>
        <v>1826.2958168</v>
      </c>
      <c r="J44" s="12">
        <f t="shared" si="4"/>
        <v>0</v>
      </c>
      <c r="K44" s="12">
        <f>F44 * G44 * 8070.8628</f>
        <v>322.83451200000002</v>
      </c>
      <c r="L44" s="13">
        <f t="shared" si="1"/>
        <v>3183.8563288</v>
      </c>
    </row>
    <row r="45" spans="2:12" ht="25.5">
      <c r="B45" s="14">
        <v>42</v>
      </c>
      <c r="C45" s="15" t="s">
        <v>104</v>
      </c>
      <c r="D45" s="16" t="s">
        <v>105</v>
      </c>
      <c r="E45" s="16" t="s">
        <v>106</v>
      </c>
      <c r="F45" s="17">
        <v>1</v>
      </c>
      <c r="G45" s="18">
        <v>1</v>
      </c>
      <c r="H45" s="19">
        <f>F45 * G45 * 134.957</f>
        <v>134.95699999999999</v>
      </c>
      <c r="I45" s="19">
        <f>F45 * G45 * 1261.0566</f>
        <v>1261.0565999999999</v>
      </c>
      <c r="J45" s="19">
        <f t="shared" si="4"/>
        <v>0</v>
      </c>
      <c r="K45" s="19">
        <f>F45 * G45 * 42.106584</f>
        <v>42.106583999999998</v>
      </c>
      <c r="L45" s="20">
        <f t="shared" si="1"/>
        <v>1438.1201839999999</v>
      </c>
    </row>
    <row r="46" spans="2:12" ht="15">
      <c r="B46" s="28" t="s">
        <v>26</v>
      </c>
      <c r="C46" s="28"/>
      <c r="D46" s="28"/>
      <c r="E46" s="28"/>
      <c r="F46" s="28"/>
      <c r="G46" s="28"/>
      <c r="H46" s="24">
        <f t="shared" ref="H46:L46" si="5">SUM(H4:H45)</f>
        <v>68268.625226259974</v>
      </c>
      <c r="I46" s="24">
        <f t="shared" si="5"/>
        <v>96481.977675210001</v>
      </c>
      <c r="J46" s="24">
        <f t="shared" si="5"/>
        <v>44.972485030000001</v>
      </c>
      <c r="K46" s="24">
        <f t="shared" si="5"/>
        <v>21303.321270069959</v>
      </c>
      <c r="L46" s="24">
        <f t="shared" si="5"/>
        <v>186098.89665656994</v>
      </c>
    </row>
  </sheetData>
  <mergeCells count="2">
    <mergeCell ref="B2:K3"/>
    <mergeCell ref="B46:G4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L46"/>
  <sheetViews>
    <sheetView workbookViewId="0">
      <selection activeCell="D4" sqref="D4"/>
    </sheetView>
  </sheetViews>
  <sheetFormatPr defaultRowHeight="15.75"/>
  <cols>
    <col min="1" max="1" width="0.7109375" customWidth="1"/>
    <col min="2" max="2" width="6" style="1" customWidth="1"/>
    <col min="3" max="3" width="13" style="2" customWidth="1"/>
    <col min="4" max="4" width="50" style="3" customWidth="1"/>
    <col min="5" max="5" width="20" style="3" customWidth="1"/>
    <col min="6" max="7" width="12" style="4" customWidth="1"/>
    <col min="8" max="9" width="14" style="5" customWidth="1"/>
    <col min="10" max="10" width="13" style="5" customWidth="1"/>
    <col min="11" max="11" width="14" style="5" customWidth="1"/>
    <col min="12" max="12" width="14.85546875" style="5" customWidth="1"/>
  </cols>
  <sheetData>
    <row r="1" spans="2:12" ht="36">
      <c r="B1" s="21" t="s">
        <v>1</v>
      </c>
      <c r="C1" s="22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3" t="s">
        <v>7</v>
      </c>
      <c r="I1" s="23" t="s">
        <v>8</v>
      </c>
      <c r="J1" s="23" t="s">
        <v>9</v>
      </c>
      <c r="K1" s="23" t="s">
        <v>10</v>
      </c>
      <c r="L1" s="23" t="s">
        <v>11</v>
      </c>
    </row>
    <row r="2" spans="2:12" thickBot="1">
      <c r="B2" s="29" t="s">
        <v>131</v>
      </c>
      <c r="C2" s="29"/>
      <c r="D2" s="29"/>
      <c r="E2" s="29"/>
      <c r="F2" s="29"/>
      <c r="G2" s="29"/>
      <c r="H2" s="29"/>
      <c r="I2" s="29"/>
      <c r="J2" s="29"/>
      <c r="K2" s="29"/>
      <c r="L2" s="25"/>
    </row>
    <row r="3" spans="2:12" ht="16.5" thickTop="1" thickBot="1">
      <c r="B3" s="30"/>
      <c r="C3" s="30"/>
      <c r="D3" s="30"/>
      <c r="E3" s="30"/>
      <c r="F3" s="30"/>
      <c r="G3" s="30"/>
      <c r="H3" s="30"/>
      <c r="I3" s="30"/>
      <c r="J3" s="30"/>
      <c r="K3" s="30"/>
      <c r="L3" s="26"/>
    </row>
    <row r="4" spans="2:12" ht="39" thickTop="1">
      <c r="B4" s="7">
        <v>1</v>
      </c>
      <c r="C4" s="8" t="s">
        <v>12</v>
      </c>
      <c r="D4" s="9" t="s">
        <v>13</v>
      </c>
      <c r="E4" s="9" t="s">
        <v>14</v>
      </c>
      <c r="F4" s="10">
        <v>0.08</v>
      </c>
      <c r="G4" s="11">
        <v>2</v>
      </c>
      <c r="H4" s="12">
        <f>F4 * G4 * 15639.52</f>
        <v>2502.3232000000003</v>
      </c>
      <c r="I4" s="12">
        <f>F4 * G4 * 21705.165506</f>
        <v>3472.8264809600005</v>
      </c>
      <c r="J4" s="12">
        <f t="shared" ref="J4:J5" si="0">F4 * G4 * 0</f>
        <v>0</v>
      </c>
      <c r="K4" s="12">
        <f>F4 * G4 * 4879.53024</f>
        <v>780.72483840000007</v>
      </c>
      <c r="L4" s="13">
        <f t="shared" ref="L4:L45" si="1">SUM(H4:K4)</f>
        <v>6755.8745193600016</v>
      </c>
    </row>
    <row r="5" spans="2:12" ht="38.25">
      <c r="B5" s="7">
        <v>2</v>
      </c>
      <c r="C5" s="8" t="s">
        <v>15</v>
      </c>
      <c r="D5" s="9" t="s">
        <v>16</v>
      </c>
      <c r="E5" s="9" t="s">
        <v>14</v>
      </c>
      <c r="F5" s="10">
        <v>0.06</v>
      </c>
      <c r="G5" s="11">
        <v>3</v>
      </c>
      <c r="H5" s="12">
        <f>F5 * G5 * 16576.82</f>
        <v>2983.8275999999996</v>
      </c>
      <c r="I5" s="12">
        <f>F5 * G5 * 34762.843598</f>
        <v>6257.3118476399995</v>
      </c>
      <c r="J5" s="12">
        <f t="shared" si="0"/>
        <v>0</v>
      </c>
      <c r="K5" s="12">
        <f>F5 * G5 * 5171.96784</f>
        <v>930.95421120000003</v>
      </c>
      <c r="L5" s="13">
        <f t="shared" si="1"/>
        <v>10172.093658839998</v>
      </c>
    </row>
    <row r="6" spans="2:12">
      <c r="B6" s="7">
        <v>3</v>
      </c>
      <c r="C6" s="8" t="s">
        <v>27</v>
      </c>
      <c r="D6" s="9" t="s">
        <v>28</v>
      </c>
      <c r="E6" s="9" t="s">
        <v>29</v>
      </c>
      <c r="F6" s="10">
        <v>0.08</v>
      </c>
      <c r="G6" s="11">
        <v>4</v>
      </c>
      <c r="H6" s="12">
        <f>F6 * G6 * 3910.157507</f>
        <v>1251.2504022400001</v>
      </c>
      <c r="I6" s="12">
        <f>F6 * G6 * 41845.140276</f>
        <v>13390.44488832</v>
      </c>
      <c r="J6" s="12">
        <f>F6 * G6 * 204.802785</f>
        <v>65.536891199999999</v>
      </c>
      <c r="K6" s="12">
        <f>F6 * G6 * 1235.142821</f>
        <v>395.24570272</v>
      </c>
      <c r="L6" s="13">
        <f t="shared" si="1"/>
        <v>15102.47788448</v>
      </c>
    </row>
    <row r="7" spans="2:12" ht="25.5">
      <c r="B7" s="7">
        <v>4</v>
      </c>
      <c r="C7" s="8" t="s">
        <v>30</v>
      </c>
      <c r="D7" s="9" t="s">
        <v>31</v>
      </c>
      <c r="E7" s="9" t="s">
        <v>32</v>
      </c>
      <c r="F7" s="10">
        <v>0.08</v>
      </c>
      <c r="G7" s="11">
        <v>4</v>
      </c>
      <c r="H7" s="12">
        <f>F7 * G7 * 7529.896158</f>
        <v>2409.5667705599999</v>
      </c>
      <c r="I7" s="12">
        <f>F7 * G7 * 81375.866004</f>
        <v>26040.27712128</v>
      </c>
      <c r="J7" s="12">
        <f>F7 * G7 * 391.708823</f>
        <v>125.34682336</v>
      </c>
      <c r="K7" s="12">
        <f>F7 * G7 * 2376.640223</f>
        <v>760.52487136000002</v>
      </c>
      <c r="L7" s="13">
        <f t="shared" si="1"/>
        <v>29335.71558656</v>
      </c>
    </row>
    <row r="8" spans="2:12" ht="25.5">
      <c r="B8" s="7">
        <v>5</v>
      </c>
      <c r="C8" s="8" t="s">
        <v>18</v>
      </c>
      <c r="D8" s="9" t="s">
        <v>19</v>
      </c>
      <c r="E8" s="9" t="s">
        <v>17</v>
      </c>
      <c r="F8" s="10">
        <v>0.02</v>
      </c>
      <c r="G8" s="11">
        <v>2</v>
      </c>
      <c r="H8" s="12">
        <f>F8 * G8 * 13711.78</f>
        <v>548.47120000000007</v>
      </c>
      <c r="I8" s="12">
        <f>F8 * G8 * 2871.662897</f>
        <v>114.86651588000001</v>
      </c>
      <c r="J8" s="12">
        <f>F8 * G8 * 0</f>
        <v>0</v>
      </c>
      <c r="K8" s="12">
        <f>F8 * G8 * 4278.07536</f>
        <v>171.12301439999999</v>
      </c>
      <c r="L8" s="13">
        <f t="shared" si="1"/>
        <v>834.46073028000012</v>
      </c>
    </row>
    <row r="9" spans="2:12" ht="25.5">
      <c r="B9" s="7">
        <v>6</v>
      </c>
      <c r="C9" s="8" t="s">
        <v>20</v>
      </c>
      <c r="D9" s="9" t="s">
        <v>21</v>
      </c>
      <c r="E9" s="9" t="s">
        <v>22</v>
      </c>
      <c r="F9" s="10">
        <v>0.02</v>
      </c>
      <c r="G9" s="11">
        <v>2</v>
      </c>
      <c r="H9" s="12">
        <f>F9 * G9 * 2387.741</f>
        <v>95.509640000000005</v>
      </c>
      <c r="I9" s="12">
        <f>F9 * G9 * 756.000504</f>
        <v>30.24002016</v>
      </c>
      <c r="J9" s="12">
        <f t="shared" ref="J9:J10" si="2">F9 * G9 * 0</f>
        <v>0</v>
      </c>
      <c r="K9" s="12">
        <f>F9 * G9 * 744.975192</f>
        <v>29.799007679999999</v>
      </c>
      <c r="L9" s="13">
        <f t="shared" si="1"/>
        <v>155.54866784000001</v>
      </c>
    </row>
    <row r="10" spans="2:12" ht="25.5">
      <c r="B10" s="7">
        <v>7</v>
      </c>
      <c r="C10" s="8" t="s">
        <v>23</v>
      </c>
      <c r="D10" s="9" t="s">
        <v>24</v>
      </c>
      <c r="E10" s="9" t="s">
        <v>25</v>
      </c>
      <c r="F10" s="10">
        <v>0.03</v>
      </c>
      <c r="G10" s="11">
        <v>3</v>
      </c>
      <c r="H10" s="12">
        <f>F10 * G10 * 7328.71</f>
        <v>659.58389999999997</v>
      </c>
      <c r="I10" s="12">
        <f>F10 * G10 * 110433.355</f>
        <v>9939.0019499999999</v>
      </c>
      <c r="J10" s="12">
        <f t="shared" si="2"/>
        <v>0</v>
      </c>
      <c r="K10" s="12">
        <f>F10 * G10 * 2286.55752</f>
        <v>205.79017679999998</v>
      </c>
      <c r="L10" s="13">
        <f t="shared" si="1"/>
        <v>10804.376026799999</v>
      </c>
    </row>
    <row r="11" spans="2:12">
      <c r="B11" s="7">
        <v>8</v>
      </c>
      <c r="C11" s="8" t="s">
        <v>27</v>
      </c>
      <c r="D11" s="9" t="s">
        <v>28</v>
      </c>
      <c r="E11" s="9" t="s">
        <v>29</v>
      </c>
      <c r="F11" s="10">
        <v>0.02</v>
      </c>
      <c r="G11" s="11">
        <v>2</v>
      </c>
      <c r="H11" s="12">
        <f>F11 * G11 * 3910.157507</f>
        <v>156.40630028000001</v>
      </c>
      <c r="I11" s="12">
        <f>F11 * G11 * 41845.140276</f>
        <v>1673.80561104</v>
      </c>
      <c r="J11" s="12">
        <f>F11 * G11 * 204.802785</f>
        <v>8.1921113999999999</v>
      </c>
      <c r="K11" s="12">
        <f>F11 * G11 * 1235.142821</f>
        <v>49.40571284</v>
      </c>
      <c r="L11" s="13">
        <f t="shared" si="1"/>
        <v>1887.80973556</v>
      </c>
    </row>
    <row r="12" spans="2:12" ht="25.5">
      <c r="B12" s="7">
        <v>9</v>
      </c>
      <c r="C12" s="8" t="s">
        <v>30</v>
      </c>
      <c r="D12" s="9" t="s">
        <v>31</v>
      </c>
      <c r="E12" s="9" t="s">
        <v>32</v>
      </c>
      <c r="F12" s="10">
        <v>0.06</v>
      </c>
      <c r="G12" s="11">
        <v>3</v>
      </c>
      <c r="H12" s="12">
        <f>F12 * G12 * 7529.896158</f>
        <v>1355.3813084399999</v>
      </c>
      <c r="I12" s="12">
        <f>F12 * G12 * 81375.866004</f>
        <v>14647.655880719998</v>
      </c>
      <c r="J12" s="12">
        <f>F12 * G12 * 391.708823</f>
        <v>70.507588139999996</v>
      </c>
      <c r="K12" s="12">
        <f>F12 * G12 * 2376.640223</f>
        <v>427.79524013999998</v>
      </c>
      <c r="L12" s="13">
        <f t="shared" si="1"/>
        <v>16501.340017439998</v>
      </c>
    </row>
    <row r="13" spans="2:12" ht="25.5">
      <c r="B13" s="7">
        <v>10</v>
      </c>
      <c r="C13" s="8" t="s">
        <v>33</v>
      </c>
      <c r="D13" s="9" t="s">
        <v>34</v>
      </c>
      <c r="E13" s="9" t="s">
        <v>29</v>
      </c>
      <c r="F13" s="10">
        <v>0.02</v>
      </c>
      <c r="G13" s="11">
        <v>2</v>
      </c>
      <c r="H13" s="12">
        <f>F13 * G13 * 2289.63494</f>
        <v>91.585397599999993</v>
      </c>
      <c r="I13" s="12">
        <f>F13 * G13 * 8888.9847</f>
        <v>355.55938800000007</v>
      </c>
      <c r="J13" s="12">
        <f>F13 * G13 * 225.070527</f>
        <v>9.0028210800000004</v>
      </c>
      <c r="K13" s="12">
        <f>F13 * G13 * 737.632408</f>
        <v>29.505296320000003</v>
      </c>
      <c r="L13" s="13">
        <f t="shared" si="1"/>
        <v>485.65290300000009</v>
      </c>
    </row>
    <row r="14" spans="2:12" ht="25.5">
      <c r="B14" s="7">
        <v>11</v>
      </c>
      <c r="C14" s="8" t="s">
        <v>110</v>
      </c>
      <c r="D14" s="9" t="s">
        <v>111</v>
      </c>
      <c r="E14" s="9" t="s">
        <v>112</v>
      </c>
      <c r="F14" s="10">
        <v>1</v>
      </c>
      <c r="G14" s="11">
        <v>1</v>
      </c>
      <c r="H14" s="12">
        <f>F14 * G14 * 1440.234</f>
        <v>1440.2339999999999</v>
      </c>
      <c r="I14" s="12">
        <f>F14 * G14 * 373.563353</f>
        <v>373.56335300000001</v>
      </c>
      <c r="J14" s="12">
        <f t="shared" ref="J14:J19" si="3">F14 * G14 * 0</f>
        <v>0</v>
      </c>
      <c r="K14" s="12">
        <f>F14 * G14 * 449.353008</f>
        <v>449.35300799999999</v>
      </c>
      <c r="L14" s="13">
        <f t="shared" si="1"/>
        <v>2263.150361</v>
      </c>
    </row>
    <row r="15" spans="2:12">
      <c r="B15" s="7">
        <v>12</v>
      </c>
      <c r="C15" s="8" t="s">
        <v>113</v>
      </c>
      <c r="D15" s="9" t="s">
        <v>114</v>
      </c>
      <c r="E15" s="9" t="s">
        <v>115</v>
      </c>
      <c r="F15" s="10">
        <v>0</v>
      </c>
      <c r="G15" s="11">
        <v>0</v>
      </c>
      <c r="H15" s="12">
        <f>F15 * G15 * 14.1846</f>
        <v>0</v>
      </c>
      <c r="I15" s="12">
        <f>F15 * G15 * 1.533433</f>
        <v>0</v>
      </c>
      <c r="J15" s="12">
        <f t="shared" si="3"/>
        <v>0</v>
      </c>
      <c r="K15" s="12">
        <f>F15 * G15 * 4.425595</f>
        <v>0</v>
      </c>
      <c r="L15" s="13">
        <f t="shared" si="1"/>
        <v>0</v>
      </c>
    </row>
    <row r="16" spans="2:12">
      <c r="B16" s="7">
        <v>13</v>
      </c>
      <c r="C16" s="8" t="s">
        <v>35</v>
      </c>
      <c r="D16" s="9" t="s">
        <v>36</v>
      </c>
      <c r="E16" s="9" t="s">
        <v>37</v>
      </c>
      <c r="F16" s="10">
        <v>2</v>
      </c>
      <c r="G16" s="11">
        <v>2</v>
      </c>
      <c r="H16" s="12">
        <f>F16 * G16 * 125.3537</f>
        <v>501.41480000000001</v>
      </c>
      <c r="I16" s="12">
        <f>F16 * G16 * 68.385752</f>
        <v>273.54300799999999</v>
      </c>
      <c r="J16" s="12">
        <f t="shared" si="3"/>
        <v>0</v>
      </c>
      <c r="K16" s="12">
        <f>F16 * G16 * 39.110354</f>
        <v>156.441416</v>
      </c>
      <c r="L16" s="13">
        <f t="shared" si="1"/>
        <v>931.399224</v>
      </c>
    </row>
    <row r="17" spans="2:12">
      <c r="B17" s="7">
        <v>14</v>
      </c>
      <c r="C17" s="8" t="s">
        <v>38</v>
      </c>
      <c r="D17" s="9" t="s">
        <v>39</v>
      </c>
      <c r="E17" s="9" t="s">
        <v>40</v>
      </c>
      <c r="F17" s="10">
        <v>1</v>
      </c>
      <c r="G17" s="11">
        <v>1</v>
      </c>
      <c r="H17" s="12">
        <f>F17 * G17 * 35.4615</f>
        <v>35.461500000000001</v>
      </c>
      <c r="I17" s="12">
        <f>F17 * G17 * 158.431504</f>
        <v>158.43150399999999</v>
      </c>
      <c r="J17" s="12">
        <f t="shared" si="3"/>
        <v>0</v>
      </c>
      <c r="K17" s="12">
        <f>F17 * G17 * 11.063988</f>
        <v>11.063988</v>
      </c>
      <c r="L17" s="13">
        <f t="shared" si="1"/>
        <v>204.95699199999999</v>
      </c>
    </row>
    <row r="18" spans="2:12">
      <c r="B18" s="7">
        <v>15</v>
      </c>
      <c r="C18" s="8" t="s">
        <v>41</v>
      </c>
      <c r="D18" s="9" t="s">
        <v>42</v>
      </c>
      <c r="E18" s="9" t="s">
        <v>43</v>
      </c>
      <c r="F18" s="10">
        <v>0.01</v>
      </c>
      <c r="G18" s="11">
        <v>1</v>
      </c>
      <c r="H18" s="12">
        <f>F18 * G18 * 25248.588</f>
        <v>252.48588000000001</v>
      </c>
      <c r="I18" s="12">
        <f>F18 * G18 * 65571.509155</f>
        <v>655.71509155000012</v>
      </c>
      <c r="J18" s="12">
        <f t="shared" si="3"/>
        <v>0</v>
      </c>
      <c r="K18" s="12">
        <f>F18 * G18 * 7877.559456</f>
        <v>78.775594560000002</v>
      </c>
      <c r="L18" s="13">
        <f t="shared" si="1"/>
        <v>986.97656611000002</v>
      </c>
    </row>
    <row r="19" spans="2:12">
      <c r="B19" s="7">
        <v>16</v>
      </c>
      <c r="C19" s="8" t="s">
        <v>120</v>
      </c>
      <c r="D19" s="9" t="s">
        <v>121</v>
      </c>
      <c r="E19" s="9" t="s">
        <v>43</v>
      </c>
      <c r="F19" s="10">
        <v>0.01</v>
      </c>
      <c r="G19" s="11">
        <v>1</v>
      </c>
      <c r="H19" s="12">
        <f>F19 * G19 * 17305.212</f>
        <v>173.05212</v>
      </c>
      <c r="I19" s="12">
        <f>F19 * G19 * 69099.634507</f>
        <v>690.99634506999996</v>
      </c>
      <c r="J19" s="12">
        <f t="shared" si="3"/>
        <v>0</v>
      </c>
      <c r="K19" s="12">
        <f>F19 * G19 * 5399.226144</f>
        <v>53.99226144</v>
      </c>
      <c r="L19" s="13">
        <f t="shared" si="1"/>
        <v>918.04072651000001</v>
      </c>
    </row>
    <row r="20" spans="2:12">
      <c r="B20" s="7">
        <v>17</v>
      </c>
      <c r="C20" s="8" t="s">
        <v>44</v>
      </c>
      <c r="D20" s="9" t="s">
        <v>45</v>
      </c>
      <c r="E20" s="9" t="s">
        <v>46</v>
      </c>
      <c r="F20" s="10">
        <v>0.02</v>
      </c>
      <c r="G20" s="11">
        <v>2</v>
      </c>
      <c r="H20" s="12">
        <f>F20 * G20 * 47282</f>
        <v>1891.28</v>
      </c>
      <c r="I20" s="12">
        <f>F20 * G20 * 76576.12775</f>
        <v>3063.04511</v>
      </c>
      <c r="J20" s="12">
        <f>F20 * G20 * 0</f>
        <v>0</v>
      </c>
      <c r="K20" s="12">
        <f>F20 * G20 * 14751.984</f>
        <v>590.07936000000007</v>
      </c>
      <c r="L20" s="13">
        <f t="shared" si="1"/>
        <v>5544.4044699999995</v>
      </c>
    </row>
    <row r="21" spans="2:12">
      <c r="B21" s="7">
        <v>18</v>
      </c>
      <c r="C21" s="8" t="s">
        <v>47</v>
      </c>
      <c r="D21" s="9" t="s">
        <v>48</v>
      </c>
      <c r="E21" s="9" t="s">
        <v>49</v>
      </c>
      <c r="F21" s="10">
        <v>2</v>
      </c>
      <c r="G21" s="11">
        <v>2</v>
      </c>
      <c r="H21" s="12">
        <f>F21 * G21 * 44.9179</f>
        <v>179.67160000000001</v>
      </c>
      <c r="I21" s="12">
        <f>F21 * G21 * 44.1864</f>
        <v>176.7456</v>
      </c>
      <c r="J21" s="12">
        <f t="shared" ref="J21:J45" si="4">F21 * G21 * 0</f>
        <v>0</v>
      </c>
      <c r="K21" s="12">
        <f>F21 * G21 * 14.014385</f>
        <v>56.057540000000003</v>
      </c>
      <c r="L21" s="13">
        <f t="shared" si="1"/>
        <v>412.47474</v>
      </c>
    </row>
    <row r="22" spans="2:12" ht="25.5">
      <c r="B22" s="7">
        <v>19</v>
      </c>
      <c r="C22" s="8" t="s">
        <v>50</v>
      </c>
      <c r="D22" s="9" t="s">
        <v>51</v>
      </c>
      <c r="E22" s="9" t="s">
        <v>52</v>
      </c>
      <c r="F22" s="10">
        <v>4</v>
      </c>
      <c r="G22" s="11">
        <v>4</v>
      </c>
      <c r="H22" s="12">
        <f>F22 * G22 * 237.81681</f>
        <v>3805.0689600000001</v>
      </c>
      <c r="I22" s="12">
        <f>F22 * G22 * 479.105858</f>
        <v>7665.6937280000002</v>
      </c>
      <c r="J22" s="12">
        <f t="shared" si="4"/>
        <v>0</v>
      </c>
      <c r="K22" s="12">
        <f>F22 * G22 * 74.198845</f>
        <v>1187.1815200000001</v>
      </c>
      <c r="L22" s="13">
        <f t="shared" si="1"/>
        <v>12657.944208000001</v>
      </c>
    </row>
    <row r="23" spans="2:12" ht="25.5">
      <c r="B23" s="7">
        <v>20</v>
      </c>
      <c r="C23" s="8" t="s">
        <v>53</v>
      </c>
      <c r="D23" s="9" t="s">
        <v>54</v>
      </c>
      <c r="E23" s="9" t="s">
        <v>52</v>
      </c>
      <c r="F23" s="10">
        <v>5</v>
      </c>
      <c r="G23" s="11">
        <v>5</v>
      </c>
      <c r="H23" s="12">
        <f>F23 * G23 * 37.8256</f>
        <v>945.64</v>
      </c>
      <c r="I23" s="12">
        <f>F23 * G23 * 43.9812</f>
        <v>1099.53</v>
      </c>
      <c r="J23" s="12">
        <f t="shared" si="4"/>
        <v>0</v>
      </c>
      <c r="K23" s="12">
        <f>F23 * G23 * 11.801587</f>
        <v>295.03967499999999</v>
      </c>
      <c r="L23" s="13">
        <f t="shared" si="1"/>
        <v>2340.2096750000001</v>
      </c>
    </row>
    <row r="24" spans="2:12">
      <c r="B24" s="7">
        <v>21</v>
      </c>
      <c r="C24" s="8" t="s">
        <v>55</v>
      </c>
      <c r="D24" s="9" t="s">
        <v>56</v>
      </c>
      <c r="E24" s="9" t="s">
        <v>57</v>
      </c>
      <c r="F24" s="10">
        <v>5</v>
      </c>
      <c r="G24" s="11">
        <v>5</v>
      </c>
      <c r="H24" s="12">
        <f>F24 * G24 * 22.45895</f>
        <v>561.47375</v>
      </c>
      <c r="I24" s="12">
        <f>F24 * G24 * 141.0294</f>
        <v>3525.7350000000001</v>
      </c>
      <c r="J24" s="12">
        <f t="shared" si="4"/>
        <v>0</v>
      </c>
      <c r="K24" s="12">
        <f>F24 * G24 * 7.007193</f>
        <v>175.17982499999999</v>
      </c>
      <c r="L24" s="13">
        <f t="shared" si="1"/>
        <v>4262.3885749999999</v>
      </c>
    </row>
    <row r="25" spans="2:12" ht="38.25">
      <c r="B25" s="7">
        <v>22</v>
      </c>
      <c r="C25" s="8" t="s">
        <v>58</v>
      </c>
      <c r="D25" s="9" t="s">
        <v>59</v>
      </c>
      <c r="E25" s="9" t="s">
        <v>14</v>
      </c>
      <c r="F25" s="10">
        <v>0.05</v>
      </c>
      <c r="G25" s="11">
        <v>3</v>
      </c>
      <c r="H25" s="12">
        <f>F25 * G25 * 17618.977</f>
        <v>2642.8465500000002</v>
      </c>
      <c r="I25" s="12">
        <f>F25 * G25 * 18074.952694</f>
        <v>2711.2429041000005</v>
      </c>
      <c r="J25" s="12">
        <f t="shared" si="4"/>
        <v>0</v>
      </c>
      <c r="K25" s="12">
        <f>F25 * G25 * 5497.120824</f>
        <v>824.56812360000004</v>
      </c>
      <c r="L25" s="13">
        <f t="shared" si="1"/>
        <v>6178.6575777000007</v>
      </c>
    </row>
    <row r="26" spans="2:12" ht="38.25">
      <c r="B26" s="7">
        <v>23</v>
      </c>
      <c r="C26" s="8" t="s">
        <v>60</v>
      </c>
      <c r="D26" s="9" t="s">
        <v>61</v>
      </c>
      <c r="E26" s="9" t="s">
        <v>14</v>
      </c>
      <c r="F26" s="10">
        <v>0.05</v>
      </c>
      <c r="G26" s="11">
        <v>3</v>
      </c>
      <c r="H26" s="12">
        <f>F26 * G26 * 19453.3435</f>
        <v>2918.0015250000001</v>
      </c>
      <c r="I26" s="12">
        <f>F26 * G26 * 25367.354534</f>
        <v>3805.1031801000004</v>
      </c>
      <c r="J26" s="12">
        <f t="shared" si="4"/>
        <v>0</v>
      </c>
      <c r="K26" s="12">
        <f>F26 * G26 * 6069.443172</f>
        <v>910.41647580000017</v>
      </c>
      <c r="L26" s="13">
        <f t="shared" si="1"/>
        <v>7633.5211809000011</v>
      </c>
    </row>
    <row r="27" spans="2:12">
      <c r="B27" s="7">
        <v>24</v>
      </c>
      <c r="C27" s="8" t="s">
        <v>62</v>
      </c>
      <c r="D27" s="9" t="s">
        <v>63</v>
      </c>
      <c r="E27" s="9" t="s">
        <v>64</v>
      </c>
      <c r="F27" s="10">
        <v>0.03</v>
      </c>
      <c r="G27" s="11">
        <v>3</v>
      </c>
      <c r="H27" s="12">
        <f>F27 * G27 * 6713.504</f>
        <v>604.21535999999992</v>
      </c>
      <c r="I27" s="12">
        <f>F27 * G27 * 6955.135292</f>
        <v>625.96217627999999</v>
      </c>
      <c r="J27" s="12">
        <f t="shared" si="4"/>
        <v>0</v>
      </c>
      <c r="K27" s="12">
        <f>F27 * G27 * 2094.613248</f>
        <v>188.51519232000001</v>
      </c>
      <c r="L27" s="13">
        <f t="shared" si="1"/>
        <v>1418.6927286</v>
      </c>
    </row>
    <row r="28" spans="2:12" ht="25.5">
      <c r="B28" s="7">
        <v>25</v>
      </c>
      <c r="C28" s="8" t="s">
        <v>65</v>
      </c>
      <c r="D28" s="9" t="s">
        <v>66</v>
      </c>
      <c r="E28" s="9" t="s">
        <v>67</v>
      </c>
      <c r="F28" s="10">
        <v>4</v>
      </c>
      <c r="G28" s="11">
        <v>4</v>
      </c>
      <c r="H28" s="12">
        <f>F28 * G28 * 30.7333</f>
        <v>491.7328</v>
      </c>
      <c r="I28" s="12">
        <f>F28 * G28 * 6.05454</f>
        <v>96.872640000000004</v>
      </c>
      <c r="J28" s="12">
        <f t="shared" si="4"/>
        <v>0</v>
      </c>
      <c r="K28" s="12">
        <f>F28 * G28 * 9.58879</f>
        <v>153.42063999999999</v>
      </c>
      <c r="L28" s="13">
        <f t="shared" si="1"/>
        <v>742.02608000000009</v>
      </c>
    </row>
    <row r="29" spans="2:12" ht="25.5">
      <c r="B29" s="7">
        <v>26</v>
      </c>
      <c r="C29" s="8" t="s">
        <v>68</v>
      </c>
      <c r="D29" s="9" t="s">
        <v>69</v>
      </c>
      <c r="E29" s="9" t="s">
        <v>70</v>
      </c>
      <c r="F29" s="10">
        <v>1</v>
      </c>
      <c r="G29" s="11">
        <v>1</v>
      </c>
      <c r="H29" s="12">
        <f>F29 * G29 * 4122.7215</f>
        <v>4122.7214999999997</v>
      </c>
      <c r="I29" s="12">
        <f>F29 * G29 * 0</f>
        <v>0</v>
      </c>
      <c r="J29" s="12">
        <f t="shared" si="4"/>
        <v>0</v>
      </c>
      <c r="K29" s="12">
        <f>F29 * G29 * 1286.289108</f>
        <v>1286.2891079999999</v>
      </c>
      <c r="L29" s="13">
        <f t="shared" si="1"/>
        <v>5409.0106079999996</v>
      </c>
    </row>
    <row r="30" spans="2:12" ht="25.5">
      <c r="B30" s="7">
        <v>27</v>
      </c>
      <c r="C30" s="8" t="s">
        <v>71</v>
      </c>
      <c r="D30" s="9" t="s">
        <v>72</v>
      </c>
      <c r="E30" s="9" t="s">
        <v>73</v>
      </c>
      <c r="F30" s="10">
        <v>0.02</v>
      </c>
      <c r="G30" s="11">
        <v>2</v>
      </c>
      <c r="H30" s="12">
        <f>F30 * G30 * 17320.196583</f>
        <v>692.80786332000002</v>
      </c>
      <c r="I30" s="12">
        <f>F30 * G30 * 323569.609729</f>
        <v>12942.784389160001</v>
      </c>
      <c r="J30" s="12">
        <f t="shared" si="4"/>
        <v>0</v>
      </c>
      <c r="K30" s="12">
        <f>F30 * G30 * 5403.90133399999</f>
        <v>216.15605335999962</v>
      </c>
      <c r="L30" s="13">
        <f t="shared" si="1"/>
        <v>13851.748305840001</v>
      </c>
    </row>
    <row r="31" spans="2:12" ht="25.5">
      <c r="B31" s="7">
        <v>28</v>
      </c>
      <c r="C31" s="8" t="s">
        <v>74</v>
      </c>
      <c r="D31" s="9" t="s">
        <v>75</v>
      </c>
      <c r="E31" s="9" t="s">
        <v>76</v>
      </c>
      <c r="F31" s="10">
        <v>0.02</v>
      </c>
      <c r="G31" s="11">
        <v>2</v>
      </c>
      <c r="H31" s="12">
        <f>F31 * G31 * 19048.365</f>
        <v>761.93460000000005</v>
      </c>
      <c r="I31" s="12">
        <f>F31 * G31 * 17188.559066</f>
        <v>687.54236264000008</v>
      </c>
      <c r="J31" s="12">
        <f t="shared" si="4"/>
        <v>0</v>
      </c>
      <c r="K31" s="12">
        <f>F31 * G31 * 5943.08988</f>
        <v>237.72359520000003</v>
      </c>
      <c r="L31" s="13">
        <f t="shared" si="1"/>
        <v>1687.2005578400003</v>
      </c>
    </row>
    <row r="32" spans="2:12" ht="25.5">
      <c r="B32" s="7">
        <v>29</v>
      </c>
      <c r="C32" s="8" t="s">
        <v>116</v>
      </c>
      <c r="D32" s="9" t="s">
        <v>117</v>
      </c>
      <c r="E32" s="9" t="s">
        <v>76</v>
      </c>
      <c r="F32" s="10">
        <v>0.02</v>
      </c>
      <c r="G32" s="11">
        <v>2</v>
      </c>
      <c r="H32" s="12">
        <f>F32 * G32 * 24221.995</f>
        <v>968.87979999999993</v>
      </c>
      <c r="I32" s="12">
        <f>F32 * G32 * 37397.213283</f>
        <v>1495.8885313199999</v>
      </c>
      <c r="J32" s="12">
        <f t="shared" si="4"/>
        <v>0</v>
      </c>
      <c r="K32" s="12">
        <f>F32 * G32 * 7557.26243999999</f>
        <v>302.29049759999964</v>
      </c>
      <c r="L32" s="13">
        <f t="shared" si="1"/>
        <v>2767.0588289199991</v>
      </c>
    </row>
    <row r="33" spans="2:12" ht="38.25">
      <c r="B33" s="7">
        <v>30</v>
      </c>
      <c r="C33" s="8" t="s">
        <v>77</v>
      </c>
      <c r="D33" s="9" t="s">
        <v>78</v>
      </c>
      <c r="E33" s="9" t="s">
        <v>79</v>
      </c>
      <c r="F33" s="10">
        <v>0.02</v>
      </c>
      <c r="G33" s="11">
        <v>2</v>
      </c>
      <c r="H33" s="12">
        <f>F33 * G33 * 19260.309046</f>
        <v>770.4123618399999</v>
      </c>
      <c r="I33" s="12">
        <f>F33 * G33 * 13074.274888</f>
        <v>522.97099551999997</v>
      </c>
      <c r="J33" s="12">
        <f t="shared" si="4"/>
        <v>0</v>
      </c>
      <c r="K33" s="12">
        <f>F33 * G33 * 6009.21642199999</f>
        <v>240.36865687999963</v>
      </c>
      <c r="L33" s="13">
        <f t="shared" si="1"/>
        <v>1533.7520142399997</v>
      </c>
    </row>
    <row r="34" spans="2:12" ht="38.25">
      <c r="B34" s="7">
        <v>31</v>
      </c>
      <c r="C34" s="8" t="s">
        <v>80</v>
      </c>
      <c r="D34" s="9" t="s">
        <v>81</v>
      </c>
      <c r="E34" s="9" t="s">
        <v>79</v>
      </c>
      <c r="F34" s="10">
        <v>0.02</v>
      </c>
      <c r="G34" s="11">
        <v>2</v>
      </c>
      <c r="H34" s="12">
        <f>F34 * G34 * 20223.3245</f>
        <v>808.93297999999993</v>
      </c>
      <c r="I34" s="12">
        <f>F34 * G34 * 15834.564328</f>
        <v>633.38257312000007</v>
      </c>
      <c r="J34" s="12">
        <f t="shared" si="4"/>
        <v>0</v>
      </c>
      <c r="K34" s="12">
        <f>F34 * G34 * 6309.677244</f>
        <v>252.38708976000001</v>
      </c>
      <c r="L34" s="13">
        <f t="shared" si="1"/>
        <v>1694.70264288</v>
      </c>
    </row>
    <row r="35" spans="2:12" ht="25.5">
      <c r="B35" s="7">
        <v>32</v>
      </c>
      <c r="C35" s="8" t="s">
        <v>82</v>
      </c>
      <c r="D35" s="9" t="s">
        <v>83</v>
      </c>
      <c r="E35" s="9" t="s">
        <v>84</v>
      </c>
      <c r="F35" s="10">
        <v>0.02</v>
      </c>
      <c r="G35" s="11">
        <v>2</v>
      </c>
      <c r="H35" s="12">
        <f>F35 * G35 * 68937.156</f>
        <v>2757.4862400000002</v>
      </c>
      <c r="I35" s="12">
        <f>F35 * G35 * 2140.763458</f>
        <v>85.630538319999999</v>
      </c>
      <c r="J35" s="12">
        <f t="shared" si="4"/>
        <v>0</v>
      </c>
      <c r="K35" s="12">
        <f>F35 * G35 * 21508.3926719999</f>
        <v>860.335706879996</v>
      </c>
      <c r="L35" s="13">
        <f t="shared" si="1"/>
        <v>3703.4524851999963</v>
      </c>
    </row>
    <row r="36" spans="2:12" ht="25.5">
      <c r="B36" s="7">
        <v>33</v>
      </c>
      <c r="C36" s="8" t="s">
        <v>85</v>
      </c>
      <c r="D36" s="9" t="s">
        <v>86</v>
      </c>
      <c r="E36" s="9" t="s">
        <v>84</v>
      </c>
      <c r="F36" s="10">
        <v>0.01</v>
      </c>
      <c r="G36" s="11">
        <v>1</v>
      </c>
      <c r="H36" s="12">
        <f>F36 * G36 * 52506.661</f>
        <v>525.06660999999997</v>
      </c>
      <c r="I36" s="12">
        <f>F36 * G36 * 13384.689778</f>
        <v>133.84689778000001</v>
      </c>
      <c r="J36" s="12">
        <f t="shared" si="4"/>
        <v>0</v>
      </c>
      <c r="K36" s="12">
        <f>F36 * G36 * 16382.078232</f>
        <v>163.82078232000001</v>
      </c>
      <c r="L36" s="13">
        <f t="shared" si="1"/>
        <v>822.73429009999995</v>
      </c>
    </row>
    <row r="37" spans="2:12">
      <c r="B37" s="7">
        <v>34</v>
      </c>
      <c r="C37" s="8" t="s">
        <v>87</v>
      </c>
      <c r="D37" s="9" t="s">
        <v>88</v>
      </c>
      <c r="E37" s="9" t="s">
        <v>89</v>
      </c>
      <c r="F37" s="10">
        <v>1</v>
      </c>
      <c r="G37" s="11">
        <v>1</v>
      </c>
      <c r="H37" s="12">
        <f>F37 * G37 * 1443.060826</f>
        <v>1443.0608259999999</v>
      </c>
      <c r="I37" s="12">
        <f>F37 * G37 * 9459.733517</f>
        <v>9459.7335170000006</v>
      </c>
      <c r="J37" s="12">
        <f t="shared" si="4"/>
        <v>0</v>
      </c>
      <c r="K37" s="12">
        <f>F37 * G37 * 450.234977</f>
        <v>450.23497700000001</v>
      </c>
      <c r="L37" s="13">
        <f t="shared" si="1"/>
        <v>11353.029320000001</v>
      </c>
    </row>
    <row r="38" spans="2:12" ht="25.5">
      <c r="B38" s="7">
        <v>35</v>
      </c>
      <c r="C38" s="8" t="s">
        <v>90</v>
      </c>
      <c r="D38" s="9" t="s">
        <v>91</v>
      </c>
      <c r="E38" s="9" t="s">
        <v>92</v>
      </c>
      <c r="F38" s="10">
        <v>0.2</v>
      </c>
      <c r="G38" s="11">
        <v>1</v>
      </c>
      <c r="H38" s="12">
        <f>F38 * G38 * 482.866087</f>
        <v>96.573217400000004</v>
      </c>
      <c r="I38" s="12">
        <f>F38 * G38 * 2138.058412</f>
        <v>427.61168240000001</v>
      </c>
      <c r="J38" s="12">
        <f t="shared" si="4"/>
        <v>0</v>
      </c>
      <c r="K38" s="12">
        <f>F38 * G38 * 150.654219</f>
        <v>30.130843800000005</v>
      </c>
      <c r="L38" s="13">
        <f t="shared" si="1"/>
        <v>554.31574360000002</v>
      </c>
    </row>
    <row r="39" spans="2:12" ht="25.5">
      <c r="B39" s="7">
        <v>36</v>
      </c>
      <c r="C39" s="8" t="s">
        <v>93</v>
      </c>
      <c r="D39" s="9" t="s">
        <v>94</v>
      </c>
      <c r="E39" s="9" t="s">
        <v>95</v>
      </c>
      <c r="F39" s="10">
        <v>0.01</v>
      </c>
      <c r="G39" s="11">
        <v>1</v>
      </c>
      <c r="H39" s="12">
        <f>F39 * G39 * 187460</f>
        <v>1874.6000000000001</v>
      </c>
      <c r="I39" s="12">
        <f>F39 * G39 * 12357.452188</f>
        <v>123.57452187999999</v>
      </c>
      <c r="J39" s="12">
        <f t="shared" si="4"/>
        <v>0</v>
      </c>
      <c r="K39" s="12">
        <f>F39 * G39 * 58487.52</f>
        <v>584.87519999999995</v>
      </c>
      <c r="L39" s="13">
        <f t="shared" si="1"/>
        <v>2583.0497218800001</v>
      </c>
    </row>
    <row r="40" spans="2:12">
      <c r="B40" s="7">
        <v>37</v>
      </c>
      <c r="C40" s="8" t="s">
        <v>96</v>
      </c>
      <c r="D40" s="9" t="s">
        <v>97</v>
      </c>
      <c r="E40" s="9" t="s">
        <v>98</v>
      </c>
      <c r="F40" s="10">
        <v>0.02</v>
      </c>
      <c r="G40" s="11">
        <v>2</v>
      </c>
      <c r="H40" s="12">
        <f>F40 * G40 * 12163.84</f>
        <v>486.55360000000002</v>
      </c>
      <c r="I40" s="12">
        <f>F40 * G40 * 13301.676695</f>
        <v>532.06706780000002</v>
      </c>
      <c r="J40" s="12">
        <f t="shared" si="4"/>
        <v>0</v>
      </c>
      <c r="K40" s="12">
        <f>F40 * G40 * 3795.11807999999</f>
        <v>151.80472319999961</v>
      </c>
      <c r="L40" s="13">
        <f t="shared" si="1"/>
        <v>1170.4253909999998</v>
      </c>
    </row>
    <row r="41" spans="2:12">
      <c r="B41" s="7">
        <v>38</v>
      </c>
      <c r="C41" s="8" t="s">
        <v>99</v>
      </c>
      <c r="D41" s="9" t="s">
        <v>100</v>
      </c>
      <c r="E41" s="9" t="s">
        <v>98</v>
      </c>
      <c r="F41" s="10">
        <v>0.02</v>
      </c>
      <c r="G41" s="11">
        <v>2</v>
      </c>
      <c r="H41" s="12">
        <f>F41 * G41 * 12163.84</f>
        <v>486.55360000000002</v>
      </c>
      <c r="I41" s="12">
        <f>F41 * G41 * 19640.465625</f>
        <v>785.61862500000007</v>
      </c>
      <c r="J41" s="12">
        <f t="shared" si="4"/>
        <v>0</v>
      </c>
      <c r="K41" s="12">
        <f>F41 * G41 * 3795.11807999999</f>
        <v>151.80472319999961</v>
      </c>
      <c r="L41" s="13">
        <f t="shared" si="1"/>
        <v>1423.9769481999997</v>
      </c>
    </row>
    <row r="42" spans="2:12">
      <c r="B42" s="7">
        <v>39</v>
      </c>
      <c r="C42" s="8" t="s">
        <v>118</v>
      </c>
      <c r="D42" s="9" t="s">
        <v>119</v>
      </c>
      <c r="E42" s="9" t="s">
        <v>98</v>
      </c>
      <c r="F42" s="10">
        <v>0.02</v>
      </c>
      <c r="G42" s="11">
        <v>2</v>
      </c>
      <c r="H42" s="12">
        <f>F42 * G42 * 12163.84</f>
        <v>486.55360000000002</v>
      </c>
      <c r="I42" s="12">
        <f>F42 * G42 * 38755.688437</f>
        <v>1550.2275374799999</v>
      </c>
      <c r="J42" s="12">
        <f t="shared" si="4"/>
        <v>0</v>
      </c>
      <c r="K42" s="12">
        <f>F42 * G42 * 3795.11807999999</f>
        <v>151.80472319999961</v>
      </c>
      <c r="L42" s="13">
        <f t="shared" si="1"/>
        <v>2188.5858606799993</v>
      </c>
    </row>
    <row r="43" spans="2:12" ht="25.5">
      <c r="B43" s="7">
        <v>40</v>
      </c>
      <c r="C43" s="8" t="s">
        <v>101</v>
      </c>
      <c r="D43" s="9" t="s">
        <v>102</v>
      </c>
      <c r="E43" s="9" t="s">
        <v>103</v>
      </c>
      <c r="F43" s="10">
        <v>0.03</v>
      </c>
      <c r="G43" s="11">
        <v>3</v>
      </c>
      <c r="H43" s="12">
        <f>F43 * G43 * 25868.15</f>
        <v>2328.1334999999999</v>
      </c>
      <c r="I43" s="12">
        <f>F43 * G43 * 45657.39542</f>
        <v>4109.1655878000001</v>
      </c>
      <c r="J43" s="12">
        <f t="shared" si="4"/>
        <v>0</v>
      </c>
      <c r="K43" s="12">
        <f>F43 * G43 * 8070.8628</f>
        <v>726.37765200000001</v>
      </c>
      <c r="L43" s="13">
        <f t="shared" si="1"/>
        <v>7163.6767398000002</v>
      </c>
    </row>
    <row r="44" spans="2:12" ht="25.5">
      <c r="B44" s="7">
        <v>41</v>
      </c>
      <c r="C44" s="8" t="s">
        <v>122</v>
      </c>
      <c r="D44" s="9" t="s">
        <v>123</v>
      </c>
      <c r="E44" s="9" t="s">
        <v>103</v>
      </c>
      <c r="F44" s="10">
        <v>0.02</v>
      </c>
      <c r="G44" s="11">
        <v>2</v>
      </c>
      <c r="H44" s="12">
        <f>F44 * G44 * 30101.12</f>
        <v>1204.0447999999999</v>
      </c>
      <c r="I44" s="12">
        <f>F44 * G44 * 47631.87542</f>
        <v>1905.2750168</v>
      </c>
      <c r="J44" s="12">
        <f t="shared" si="4"/>
        <v>0</v>
      </c>
      <c r="K44" s="12">
        <f>F44 * G44 * 9391.54944</f>
        <v>375.66197760000006</v>
      </c>
      <c r="L44" s="13">
        <f t="shared" si="1"/>
        <v>3484.9817944000001</v>
      </c>
    </row>
    <row r="45" spans="2:12" ht="25.5">
      <c r="B45" s="14">
        <v>42</v>
      </c>
      <c r="C45" s="15" t="s">
        <v>104</v>
      </c>
      <c r="D45" s="16" t="s">
        <v>105</v>
      </c>
      <c r="E45" s="16" t="s">
        <v>106</v>
      </c>
      <c r="F45" s="17">
        <v>2</v>
      </c>
      <c r="G45" s="18">
        <v>2</v>
      </c>
      <c r="H45" s="19">
        <f>F45 * G45 * 134.957</f>
        <v>539.82799999999997</v>
      </c>
      <c r="I45" s="19">
        <f>F45 * G45 * 1261.0566</f>
        <v>5044.2263999999996</v>
      </c>
      <c r="J45" s="19">
        <f t="shared" si="4"/>
        <v>0</v>
      </c>
      <c r="K45" s="19">
        <f>F45 * G45 * 42.106584</f>
        <v>168.42633599999999</v>
      </c>
      <c r="L45" s="20">
        <f t="shared" si="1"/>
        <v>5752.4807359999995</v>
      </c>
    </row>
    <row r="46" spans="2:12" ht="15">
      <c r="B46" s="28" t="s">
        <v>26</v>
      </c>
      <c r="C46" s="28"/>
      <c r="D46" s="28"/>
      <c r="E46" s="28"/>
      <c r="F46" s="28"/>
      <c r="G46" s="28"/>
      <c r="H46" s="24">
        <f t="shared" ref="H46:L46" si="5">SUM(H4:H45)</f>
        <v>48850.627662680003</v>
      </c>
      <c r="I46" s="24">
        <f t="shared" si="5"/>
        <v>141283.71558811999</v>
      </c>
      <c r="J46" s="24">
        <f t="shared" si="5"/>
        <v>278.58623517999996</v>
      </c>
      <c r="K46" s="24">
        <f t="shared" si="5"/>
        <v>15261.445337579991</v>
      </c>
      <c r="L46" s="24">
        <f t="shared" si="5"/>
        <v>205674.37482355998</v>
      </c>
    </row>
  </sheetData>
  <mergeCells count="2">
    <mergeCell ref="B2:K3"/>
    <mergeCell ref="B46:G4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1:L39"/>
  <sheetViews>
    <sheetView topLeftCell="A22" workbookViewId="0">
      <selection activeCell="H18" sqref="H18"/>
    </sheetView>
  </sheetViews>
  <sheetFormatPr defaultRowHeight="15.75"/>
  <cols>
    <col min="1" max="1" width="0.28515625" customWidth="1"/>
    <col min="2" max="2" width="6" style="1" customWidth="1"/>
    <col min="3" max="3" width="13" style="2" customWidth="1"/>
    <col min="4" max="4" width="50" style="3" customWidth="1"/>
    <col min="5" max="5" width="20" style="3" customWidth="1"/>
    <col min="6" max="7" width="12" style="4" customWidth="1"/>
    <col min="8" max="9" width="14" style="5" customWidth="1"/>
    <col min="10" max="10" width="13" style="5" customWidth="1"/>
    <col min="11" max="11" width="14" style="5" customWidth="1"/>
    <col min="12" max="12" width="14.85546875" style="5" customWidth="1"/>
  </cols>
  <sheetData>
    <row r="1" spans="2:12" ht="36">
      <c r="B1" s="21" t="s">
        <v>1</v>
      </c>
      <c r="C1" s="22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3" t="s">
        <v>7</v>
      </c>
      <c r="I1" s="23" t="s">
        <v>8</v>
      </c>
      <c r="J1" s="23" t="s">
        <v>9</v>
      </c>
      <c r="K1" s="23" t="s">
        <v>10</v>
      </c>
      <c r="L1" s="23" t="s">
        <v>11</v>
      </c>
    </row>
    <row r="2" spans="2:12" thickBot="1">
      <c r="B2" s="29" t="s">
        <v>133</v>
      </c>
      <c r="C2" s="29"/>
      <c r="D2" s="29"/>
      <c r="E2" s="29"/>
      <c r="F2" s="29"/>
      <c r="G2" s="29"/>
      <c r="H2" s="29"/>
      <c r="I2" s="29"/>
      <c r="J2" s="29"/>
      <c r="K2" s="29"/>
      <c r="L2" s="25"/>
    </row>
    <row r="3" spans="2:12" ht="16.5" thickTop="1" thickBot="1">
      <c r="B3" s="30"/>
      <c r="C3" s="30"/>
      <c r="D3" s="30"/>
      <c r="E3" s="30"/>
      <c r="F3" s="30"/>
      <c r="G3" s="30"/>
      <c r="H3" s="30"/>
      <c r="I3" s="30"/>
      <c r="J3" s="30"/>
      <c r="K3" s="30"/>
      <c r="L3" s="26"/>
    </row>
    <row r="4" spans="2:12" ht="39" thickTop="1">
      <c r="B4" s="7">
        <v>1</v>
      </c>
      <c r="C4" s="8" t="s">
        <v>12</v>
      </c>
      <c r="D4" s="9" t="s">
        <v>13</v>
      </c>
      <c r="E4" s="9" t="s">
        <v>14</v>
      </c>
      <c r="F4" s="10">
        <v>0.01</v>
      </c>
      <c r="G4" s="11">
        <v>1</v>
      </c>
      <c r="H4" s="12">
        <f>F4 * G4 * 15639.52</f>
        <v>156.39520000000002</v>
      </c>
      <c r="I4" s="12">
        <f>F4 * G4 * 21705.165506</f>
        <v>217.05165506000003</v>
      </c>
      <c r="J4" s="12">
        <f t="shared" ref="J4:J5" si="0">F4 * G4 * 0</f>
        <v>0</v>
      </c>
      <c r="K4" s="12">
        <f>F4 * G4 * 4879.53024</f>
        <v>48.795302400000004</v>
      </c>
      <c r="L4" s="13">
        <f t="shared" ref="L4:L38" si="1">SUM(H4:K4)</f>
        <v>422.2421574600001</v>
      </c>
    </row>
    <row r="5" spans="2:12" ht="38.25">
      <c r="B5" s="7">
        <v>2</v>
      </c>
      <c r="C5" s="8" t="s">
        <v>15</v>
      </c>
      <c r="D5" s="9" t="s">
        <v>16</v>
      </c>
      <c r="E5" s="9" t="s">
        <v>14</v>
      </c>
      <c r="F5" s="10">
        <v>0.01</v>
      </c>
      <c r="G5" s="11">
        <v>1</v>
      </c>
      <c r="H5" s="12">
        <f>F5 * G5 * 16576.82</f>
        <v>165.76820000000001</v>
      </c>
      <c r="I5" s="12">
        <f>F5 * G5 * 34762.843598</f>
        <v>347.62843598000001</v>
      </c>
      <c r="J5" s="12">
        <f t="shared" si="0"/>
        <v>0</v>
      </c>
      <c r="K5" s="12">
        <f>F5 * G5 * 5171.96784</f>
        <v>51.719678400000006</v>
      </c>
      <c r="L5" s="13">
        <f t="shared" si="1"/>
        <v>565.11631438000006</v>
      </c>
    </row>
    <row r="6" spans="2:12" ht="25.5">
      <c r="B6" s="7">
        <v>5</v>
      </c>
      <c r="C6" s="8" t="s">
        <v>18</v>
      </c>
      <c r="D6" s="9" t="s">
        <v>19</v>
      </c>
      <c r="E6" s="9" t="s">
        <v>17</v>
      </c>
      <c r="F6" s="10">
        <v>0.01</v>
      </c>
      <c r="G6" s="11">
        <v>1</v>
      </c>
      <c r="H6" s="12">
        <f>F6 * G6 * 13711.78</f>
        <v>137.11780000000002</v>
      </c>
      <c r="I6" s="12">
        <f>F6 * G6 * 2871.662897</f>
        <v>28.716628970000002</v>
      </c>
      <c r="J6" s="12">
        <f>F6 * G6 * 0</f>
        <v>0</v>
      </c>
      <c r="K6" s="12">
        <f>F6 * G6 * 4278.07536</f>
        <v>42.780753599999997</v>
      </c>
      <c r="L6" s="13">
        <f t="shared" si="1"/>
        <v>208.61518257000003</v>
      </c>
    </row>
    <row r="7" spans="2:12" ht="25.5">
      <c r="B7" s="7">
        <v>6</v>
      </c>
      <c r="C7" s="8" t="s">
        <v>20</v>
      </c>
      <c r="D7" s="9" t="s">
        <v>21</v>
      </c>
      <c r="E7" s="9" t="s">
        <v>22</v>
      </c>
      <c r="F7" s="10">
        <v>0.02</v>
      </c>
      <c r="G7" s="11">
        <v>2</v>
      </c>
      <c r="H7" s="12">
        <f>F7 * G7 * 2387.741</f>
        <v>95.509640000000005</v>
      </c>
      <c r="I7" s="12">
        <f>F7 * G7 * 756.000504</f>
        <v>30.24002016</v>
      </c>
      <c r="J7" s="12">
        <f t="shared" ref="J7:J8" si="2">F7 * G7 * 0</f>
        <v>0</v>
      </c>
      <c r="K7" s="12">
        <f>F7 * G7 * 744.975192</f>
        <v>29.799007679999999</v>
      </c>
      <c r="L7" s="13">
        <f t="shared" si="1"/>
        <v>155.54866784000001</v>
      </c>
    </row>
    <row r="8" spans="2:12" ht="25.5">
      <c r="B8" s="7">
        <v>7</v>
      </c>
      <c r="C8" s="8" t="s">
        <v>23</v>
      </c>
      <c r="D8" s="9" t="s">
        <v>24</v>
      </c>
      <c r="E8" s="9" t="s">
        <v>25</v>
      </c>
      <c r="F8" s="10">
        <v>0.01</v>
      </c>
      <c r="G8" s="11">
        <v>1</v>
      </c>
      <c r="H8" s="12">
        <f>F8 * G8 * 7328.71</f>
        <v>73.287099999999995</v>
      </c>
      <c r="I8" s="12">
        <f>F8 * G8 * 110433.355</f>
        <v>1104.3335500000001</v>
      </c>
      <c r="J8" s="12">
        <f t="shared" si="2"/>
        <v>0</v>
      </c>
      <c r="K8" s="12">
        <f>F8 * G8 * 2286.55752</f>
        <v>22.865575199999999</v>
      </c>
      <c r="L8" s="13">
        <f t="shared" si="1"/>
        <v>1200.4862252</v>
      </c>
    </row>
    <row r="9" spans="2:12">
      <c r="B9" s="7">
        <v>8</v>
      </c>
      <c r="C9" s="8" t="s">
        <v>27</v>
      </c>
      <c r="D9" s="9" t="s">
        <v>28</v>
      </c>
      <c r="E9" s="9" t="s">
        <v>29</v>
      </c>
      <c r="F9" s="10">
        <v>0.01</v>
      </c>
      <c r="G9" s="11">
        <v>1</v>
      </c>
      <c r="H9" s="12">
        <f>F9 * G9 * 3910.157507</f>
        <v>39.101575070000003</v>
      </c>
      <c r="I9" s="12">
        <f>F9 * G9 * 41845.140276</f>
        <v>418.45140276000001</v>
      </c>
      <c r="J9" s="12">
        <f>F9 * G9 * 204.802785</f>
        <v>2.04802785</v>
      </c>
      <c r="K9" s="12">
        <f>F9 * G9 * 1235.142821</f>
        <v>12.35142821</v>
      </c>
      <c r="L9" s="13">
        <f t="shared" si="1"/>
        <v>471.95243389000001</v>
      </c>
    </row>
    <row r="10" spans="2:12" ht="25.5">
      <c r="B10" s="7">
        <v>9</v>
      </c>
      <c r="C10" s="8" t="s">
        <v>30</v>
      </c>
      <c r="D10" s="9" t="s">
        <v>31</v>
      </c>
      <c r="E10" s="9" t="s">
        <v>32</v>
      </c>
      <c r="F10" s="10">
        <v>0.01</v>
      </c>
      <c r="G10" s="11">
        <v>1</v>
      </c>
      <c r="H10" s="12">
        <f>F10 * G10 * 7529.896158</f>
        <v>75.298961579999997</v>
      </c>
      <c r="I10" s="12">
        <f>F10 * G10 * 81375.866004</f>
        <v>813.75866004</v>
      </c>
      <c r="J10" s="12">
        <f>F10 * G10 * 391.708823</f>
        <v>3.9170882300000001</v>
      </c>
      <c r="K10" s="12">
        <f>F10 * G10 * 2376.640223</f>
        <v>23.766402230000001</v>
      </c>
      <c r="L10" s="13">
        <f t="shared" si="1"/>
        <v>916.74111207999999</v>
      </c>
    </row>
    <row r="11" spans="2:12" ht="25.5">
      <c r="B11" s="7">
        <v>25</v>
      </c>
      <c r="C11" s="8" t="s">
        <v>107</v>
      </c>
      <c r="D11" s="9" t="s">
        <v>108</v>
      </c>
      <c r="E11" s="9" t="s">
        <v>109</v>
      </c>
      <c r="F11" s="10">
        <v>0.2</v>
      </c>
      <c r="G11" s="11">
        <v>1</v>
      </c>
      <c r="H11" s="12">
        <f>F11 * G11 * 14346.021412</f>
        <v>2869.2042824</v>
      </c>
      <c r="I11" s="12">
        <f>F11 * G11 * 48661.911659</f>
        <v>9732.3823317999995</v>
      </c>
      <c r="J11" s="12">
        <f>F11 * G11 * 0</f>
        <v>0</v>
      </c>
      <c r="K11" s="12">
        <f>F11 * G11 * 4475.95868</f>
        <v>895.19173599999999</v>
      </c>
      <c r="L11" s="13">
        <f t="shared" si="1"/>
        <v>13496.7783502</v>
      </c>
    </row>
    <row r="12" spans="2:12" ht="25.5">
      <c r="B12" s="7">
        <v>10</v>
      </c>
      <c r="C12" s="8" t="s">
        <v>33</v>
      </c>
      <c r="D12" s="9" t="s">
        <v>34</v>
      </c>
      <c r="E12" s="9" t="s">
        <v>29</v>
      </c>
      <c r="F12" s="10">
        <v>0.02</v>
      </c>
      <c r="G12" s="11">
        <v>2</v>
      </c>
      <c r="H12" s="12">
        <f>F12 * G12 * 2289.63494</f>
        <v>91.585397599999993</v>
      </c>
      <c r="I12" s="12">
        <f>F12 * G12 * 8888.9847</f>
        <v>355.55938800000007</v>
      </c>
      <c r="J12" s="12">
        <f>F12 * G12 * 225.070527</f>
        <v>9.0028210800000004</v>
      </c>
      <c r="K12" s="12">
        <f>F12 * G12 * 737.632408</f>
        <v>29.505296320000003</v>
      </c>
      <c r="L12" s="13">
        <f t="shared" si="1"/>
        <v>485.65290300000009</v>
      </c>
    </row>
    <row r="13" spans="2:12">
      <c r="B13" s="7">
        <v>13</v>
      </c>
      <c r="C13" s="8" t="s">
        <v>35</v>
      </c>
      <c r="D13" s="9" t="s">
        <v>36</v>
      </c>
      <c r="E13" s="9" t="s">
        <v>37</v>
      </c>
      <c r="F13" s="10">
        <v>1</v>
      </c>
      <c r="G13" s="11">
        <v>1</v>
      </c>
      <c r="H13" s="12">
        <f>F13 * G13 * 125.3537</f>
        <v>125.3537</v>
      </c>
      <c r="I13" s="12">
        <f>F13 * G13 * 68.385752</f>
        <v>68.385751999999997</v>
      </c>
      <c r="J13" s="12">
        <f t="shared" ref="J13:J15" si="3">F13 * G13 * 0</f>
        <v>0</v>
      </c>
      <c r="K13" s="12">
        <f>F13 * G13 * 39.110354</f>
        <v>39.110354000000001</v>
      </c>
      <c r="L13" s="13">
        <f t="shared" si="1"/>
        <v>232.849806</v>
      </c>
    </row>
    <row r="14" spans="2:12">
      <c r="B14" s="7">
        <v>14</v>
      </c>
      <c r="C14" s="8" t="s">
        <v>38</v>
      </c>
      <c r="D14" s="9" t="s">
        <v>39</v>
      </c>
      <c r="E14" s="9" t="s">
        <v>40</v>
      </c>
      <c r="F14" s="10">
        <v>1</v>
      </c>
      <c r="G14" s="11">
        <v>1</v>
      </c>
      <c r="H14" s="12">
        <f>F14 * G14 * 35.4615</f>
        <v>35.461500000000001</v>
      </c>
      <c r="I14" s="12">
        <f>F14 * G14 * 158.431504</f>
        <v>158.43150399999999</v>
      </c>
      <c r="J14" s="12">
        <f t="shared" si="3"/>
        <v>0</v>
      </c>
      <c r="K14" s="12">
        <f>F14 * G14 * 11.063988</f>
        <v>11.063988</v>
      </c>
      <c r="L14" s="13">
        <f t="shared" si="1"/>
        <v>204.95699199999999</v>
      </c>
    </row>
    <row r="15" spans="2:12">
      <c r="B15" s="7">
        <v>15</v>
      </c>
      <c r="C15" s="8" t="s">
        <v>41</v>
      </c>
      <c r="D15" s="9" t="s">
        <v>42</v>
      </c>
      <c r="E15" s="9" t="s">
        <v>43</v>
      </c>
      <c r="F15" s="10">
        <v>0.01</v>
      </c>
      <c r="G15" s="11">
        <v>1</v>
      </c>
      <c r="H15" s="12">
        <f>F15 * G15 * 25248.588</f>
        <v>252.48588000000001</v>
      </c>
      <c r="I15" s="12">
        <f>F15 * G15 * 65571.509155</f>
        <v>655.71509155000012</v>
      </c>
      <c r="J15" s="12">
        <f t="shared" si="3"/>
        <v>0</v>
      </c>
      <c r="K15" s="12">
        <f>F15 * G15 * 7877.559456</f>
        <v>78.775594560000002</v>
      </c>
      <c r="L15" s="13">
        <f t="shared" si="1"/>
        <v>986.97656611000002</v>
      </c>
    </row>
    <row r="16" spans="2:12">
      <c r="B16" s="7">
        <v>17</v>
      </c>
      <c r="C16" s="8" t="s">
        <v>44</v>
      </c>
      <c r="D16" s="9" t="s">
        <v>45</v>
      </c>
      <c r="E16" s="9" t="s">
        <v>46</v>
      </c>
      <c r="F16" s="10">
        <v>2E-3</v>
      </c>
      <c r="G16" s="11">
        <v>2</v>
      </c>
      <c r="H16" s="12">
        <f>F16 * G16 * 47282</f>
        <v>189.12800000000001</v>
      </c>
      <c r="I16" s="12">
        <f>F16 * G16 * 76576.12775</f>
        <v>306.30451099999999</v>
      </c>
      <c r="J16" s="12">
        <f>F16 * G16 * 0</f>
        <v>0</v>
      </c>
      <c r="K16" s="12">
        <f>F16 * G16 * 14751.984</f>
        <v>59.007936000000001</v>
      </c>
      <c r="L16" s="13">
        <f t="shared" si="1"/>
        <v>554.44044699999995</v>
      </c>
    </row>
    <row r="17" spans="2:12">
      <c r="B17" s="7">
        <v>18</v>
      </c>
      <c r="C17" s="8" t="s">
        <v>47</v>
      </c>
      <c r="D17" s="9" t="s">
        <v>48</v>
      </c>
      <c r="E17" s="9" t="s">
        <v>49</v>
      </c>
      <c r="F17" s="10">
        <v>1</v>
      </c>
      <c r="G17" s="11">
        <v>1</v>
      </c>
      <c r="H17" s="12">
        <f>F17 * G17 * 44.9179</f>
        <v>44.917900000000003</v>
      </c>
      <c r="I17" s="12">
        <f>F17 * G17 * 44.1864</f>
        <v>44.186399999999999</v>
      </c>
      <c r="J17" s="12">
        <f t="shared" ref="J17:J38" si="4">F17 * G17 * 0</f>
        <v>0</v>
      </c>
      <c r="K17" s="12">
        <f>F17 * G17 * 14.014385</f>
        <v>14.014385000000001</v>
      </c>
      <c r="L17" s="13">
        <f t="shared" si="1"/>
        <v>103.118685</v>
      </c>
    </row>
    <row r="18" spans="2:12" ht="25.5">
      <c r="B18" s="7">
        <v>19</v>
      </c>
      <c r="C18" s="8" t="s">
        <v>50</v>
      </c>
      <c r="D18" s="9" t="s">
        <v>51</v>
      </c>
      <c r="E18" s="9" t="s">
        <v>52</v>
      </c>
      <c r="F18" s="10">
        <v>6</v>
      </c>
      <c r="G18" s="11">
        <v>6</v>
      </c>
      <c r="H18" s="12">
        <f>F18 * G18 * 237.81681</f>
        <v>8561.4051600000003</v>
      </c>
      <c r="I18" s="12">
        <f>F18 * G18 * 479.105858</f>
        <v>17247.810888</v>
      </c>
      <c r="J18" s="12">
        <f t="shared" si="4"/>
        <v>0</v>
      </c>
      <c r="K18" s="12">
        <f>F18 * G18 * 74.198845</f>
        <v>2671.1584200000002</v>
      </c>
      <c r="L18" s="13">
        <f t="shared" si="1"/>
        <v>28480.374468000002</v>
      </c>
    </row>
    <row r="19" spans="2:12" ht="25.5">
      <c r="B19" s="7">
        <v>20</v>
      </c>
      <c r="C19" s="8" t="s">
        <v>53</v>
      </c>
      <c r="D19" s="9" t="s">
        <v>54</v>
      </c>
      <c r="E19" s="9" t="s">
        <v>52</v>
      </c>
      <c r="F19" s="10">
        <v>1</v>
      </c>
      <c r="G19" s="11">
        <v>1</v>
      </c>
      <c r="H19" s="12">
        <f>F19 * G19 * 37.8256</f>
        <v>37.825600000000001</v>
      </c>
      <c r="I19" s="12">
        <f>F19 * G19 * 43.9812</f>
        <v>43.981200000000001</v>
      </c>
      <c r="J19" s="12">
        <f t="shared" si="4"/>
        <v>0</v>
      </c>
      <c r="K19" s="12">
        <f>F19 * G19 * 11.801587</f>
        <v>11.801587</v>
      </c>
      <c r="L19" s="13">
        <f t="shared" si="1"/>
        <v>93.608387000000008</v>
      </c>
    </row>
    <row r="20" spans="2:12">
      <c r="B20" s="7">
        <v>21</v>
      </c>
      <c r="C20" s="8" t="s">
        <v>55</v>
      </c>
      <c r="D20" s="9" t="s">
        <v>56</v>
      </c>
      <c r="E20" s="9" t="s">
        <v>57</v>
      </c>
      <c r="F20" s="10">
        <v>2</v>
      </c>
      <c r="G20" s="11">
        <v>2</v>
      </c>
      <c r="H20" s="12">
        <f>F20 * G20 * 22.45895</f>
        <v>89.835800000000006</v>
      </c>
      <c r="I20" s="12">
        <f>F20 * G20 * 141.0294</f>
        <v>564.11760000000004</v>
      </c>
      <c r="J20" s="12">
        <f t="shared" si="4"/>
        <v>0</v>
      </c>
      <c r="K20" s="12">
        <f>F20 * G20 * 7.007193</f>
        <v>28.028772</v>
      </c>
      <c r="L20" s="13">
        <f t="shared" si="1"/>
        <v>681.98217200000011</v>
      </c>
    </row>
    <row r="21" spans="2:12" ht="38.25">
      <c r="B21" s="7">
        <v>22</v>
      </c>
      <c r="C21" s="8" t="s">
        <v>58</v>
      </c>
      <c r="D21" s="9" t="s">
        <v>59</v>
      </c>
      <c r="E21" s="9" t="s">
        <v>14</v>
      </c>
      <c r="F21" s="10">
        <v>0.02</v>
      </c>
      <c r="G21" s="11">
        <v>2</v>
      </c>
      <c r="H21" s="12">
        <f>F21 * G21 * 17618.977</f>
        <v>704.75907999999993</v>
      </c>
      <c r="I21" s="12">
        <f>F21 * G21 * 18074.952694</f>
        <v>722.99810776000004</v>
      </c>
      <c r="J21" s="12">
        <f t="shared" si="4"/>
        <v>0</v>
      </c>
      <c r="K21" s="12">
        <f>F21 * G21 * 5497.120824</f>
        <v>219.88483295999998</v>
      </c>
      <c r="L21" s="13">
        <f t="shared" si="1"/>
        <v>1647.6420207199999</v>
      </c>
    </row>
    <row r="22" spans="2:12" ht="38.25">
      <c r="B22" s="7">
        <v>23</v>
      </c>
      <c r="C22" s="8" t="s">
        <v>60</v>
      </c>
      <c r="D22" s="9" t="s">
        <v>61</v>
      </c>
      <c r="E22" s="9" t="s">
        <v>14</v>
      </c>
      <c r="F22" s="10">
        <v>0.02</v>
      </c>
      <c r="G22" s="11">
        <v>2</v>
      </c>
      <c r="H22" s="12">
        <f>F22 * G22 * 19453.3435</f>
        <v>778.13373999999999</v>
      </c>
      <c r="I22" s="12">
        <f>F22 * G22 * 25367.354534</f>
        <v>1014.6941813599999</v>
      </c>
      <c r="J22" s="12">
        <f t="shared" si="4"/>
        <v>0</v>
      </c>
      <c r="K22" s="12">
        <f>F22 * G22 * 6069.443172</f>
        <v>242.77772688000002</v>
      </c>
      <c r="L22" s="13">
        <f t="shared" si="1"/>
        <v>2035.6056482399999</v>
      </c>
    </row>
    <row r="23" spans="2:12">
      <c r="B23" s="7">
        <v>24</v>
      </c>
      <c r="C23" s="8" t="s">
        <v>62</v>
      </c>
      <c r="D23" s="9" t="s">
        <v>63</v>
      </c>
      <c r="E23" s="9" t="s">
        <v>64</v>
      </c>
      <c r="F23" s="10">
        <v>0.02</v>
      </c>
      <c r="G23" s="11">
        <v>2</v>
      </c>
      <c r="H23" s="12">
        <f>F23 * G23 * 6713.504</f>
        <v>268.54016000000001</v>
      </c>
      <c r="I23" s="12">
        <f>F23 * G23 * 6955.135292</f>
        <v>278.20541168</v>
      </c>
      <c r="J23" s="12">
        <f t="shared" si="4"/>
        <v>0</v>
      </c>
      <c r="K23" s="12">
        <f>F23 * G23 * 2094.613248</f>
        <v>83.784529920000011</v>
      </c>
      <c r="L23" s="13">
        <f t="shared" si="1"/>
        <v>630.53010160000008</v>
      </c>
    </row>
    <row r="24" spans="2:12" ht="25.5">
      <c r="B24" s="7">
        <v>25</v>
      </c>
      <c r="C24" s="8" t="s">
        <v>65</v>
      </c>
      <c r="D24" s="9" t="s">
        <v>66</v>
      </c>
      <c r="E24" s="9" t="s">
        <v>67</v>
      </c>
      <c r="F24" s="10">
        <v>2</v>
      </c>
      <c r="G24" s="11">
        <v>2</v>
      </c>
      <c r="H24" s="12">
        <f>F24 * G24 * 30.7333</f>
        <v>122.9332</v>
      </c>
      <c r="I24" s="12">
        <f>F24 * G24 * 6.05454</f>
        <v>24.218160000000001</v>
      </c>
      <c r="J24" s="12">
        <f t="shared" si="4"/>
        <v>0</v>
      </c>
      <c r="K24" s="12">
        <f>F24 * G24 * 9.58879</f>
        <v>38.355159999999998</v>
      </c>
      <c r="L24" s="13">
        <f t="shared" si="1"/>
        <v>185.50652000000002</v>
      </c>
    </row>
    <row r="25" spans="2:12" ht="25.5">
      <c r="B25" s="7">
        <v>26</v>
      </c>
      <c r="C25" s="8" t="s">
        <v>68</v>
      </c>
      <c r="D25" s="9" t="s">
        <v>69</v>
      </c>
      <c r="E25" s="9" t="s">
        <v>70</v>
      </c>
      <c r="F25" s="10">
        <v>1</v>
      </c>
      <c r="G25" s="11">
        <v>1</v>
      </c>
      <c r="H25" s="12">
        <f>F25 * G25 * 4122.7215</f>
        <v>4122.7214999999997</v>
      </c>
      <c r="I25" s="12">
        <f>F25 * G25 * 0</f>
        <v>0</v>
      </c>
      <c r="J25" s="12">
        <f t="shared" si="4"/>
        <v>0</v>
      </c>
      <c r="K25" s="12">
        <f>F25 * G25 * 1286.289108</f>
        <v>1286.2891079999999</v>
      </c>
      <c r="L25" s="13">
        <f t="shared" si="1"/>
        <v>5409.0106079999996</v>
      </c>
    </row>
    <row r="26" spans="2:12" ht="25.5">
      <c r="B26" s="7">
        <v>27</v>
      </c>
      <c r="C26" s="8" t="s">
        <v>71</v>
      </c>
      <c r="D26" s="9" t="s">
        <v>72</v>
      </c>
      <c r="E26" s="9" t="s">
        <v>73</v>
      </c>
      <c r="F26" s="10">
        <v>0.02</v>
      </c>
      <c r="G26" s="11">
        <v>2</v>
      </c>
      <c r="H26" s="12">
        <f>F26 * G26 * 17320.196583</f>
        <v>692.80786332000002</v>
      </c>
      <c r="I26" s="12">
        <f>F26 * G26 * 323569.609729</f>
        <v>12942.784389160001</v>
      </c>
      <c r="J26" s="12">
        <f t="shared" si="4"/>
        <v>0</v>
      </c>
      <c r="K26" s="12">
        <f>F26 * G26 * 5403.90133399999</f>
        <v>216.15605335999962</v>
      </c>
      <c r="L26" s="13">
        <f t="shared" si="1"/>
        <v>13851.748305840001</v>
      </c>
    </row>
    <row r="27" spans="2:12" ht="25.5">
      <c r="B27" s="7">
        <v>28</v>
      </c>
      <c r="C27" s="8" t="s">
        <v>74</v>
      </c>
      <c r="D27" s="9" t="s">
        <v>75</v>
      </c>
      <c r="E27" s="9" t="s">
        <v>76</v>
      </c>
      <c r="F27" s="10">
        <v>0.02</v>
      </c>
      <c r="G27" s="11">
        <v>2</v>
      </c>
      <c r="H27" s="12">
        <f>F27 * G27 * 19048.365</f>
        <v>761.93460000000005</v>
      </c>
      <c r="I27" s="12">
        <f>F27 * G27 * 17188.559066</f>
        <v>687.54236264000008</v>
      </c>
      <c r="J27" s="12">
        <f t="shared" si="4"/>
        <v>0</v>
      </c>
      <c r="K27" s="12">
        <f>F27 * G27 * 5943.08988</f>
        <v>237.72359520000003</v>
      </c>
      <c r="L27" s="13">
        <f t="shared" si="1"/>
        <v>1687.2005578400003</v>
      </c>
    </row>
    <row r="28" spans="2:12" ht="38.25">
      <c r="B28" s="7">
        <v>30</v>
      </c>
      <c r="C28" s="8" t="s">
        <v>77</v>
      </c>
      <c r="D28" s="9" t="s">
        <v>78</v>
      </c>
      <c r="E28" s="9" t="s">
        <v>79</v>
      </c>
      <c r="F28" s="10">
        <v>0.01</v>
      </c>
      <c r="G28" s="11">
        <v>1</v>
      </c>
      <c r="H28" s="12">
        <f>F28 * G28 * 19260.309046</f>
        <v>192.60309045999998</v>
      </c>
      <c r="I28" s="12">
        <f>F28 * G28 * 13074.274888</f>
        <v>130.74274887999999</v>
      </c>
      <c r="J28" s="12">
        <f t="shared" si="4"/>
        <v>0</v>
      </c>
      <c r="K28" s="12">
        <f>F28 * G28 * 6009.21642199999</f>
        <v>60.092164219999908</v>
      </c>
      <c r="L28" s="13">
        <f t="shared" si="1"/>
        <v>383.43800355999991</v>
      </c>
    </row>
    <row r="29" spans="2:12" ht="38.25">
      <c r="B29" s="7">
        <v>31</v>
      </c>
      <c r="C29" s="8" t="s">
        <v>80</v>
      </c>
      <c r="D29" s="9" t="s">
        <v>81</v>
      </c>
      <c r="E29" s="9" t="s">
        <v>79</v>
      </c>
      <c r="F29" s="10">
        <v>0.02</v>
      </c>
      <c r="G29" s="11">
        <v>2</v>
      </c>
      <c r="H29" s="12">
        <f>F29 * G29 * 20223.3245</f>
        <v>808.93297999999993</v>
      </c>
      <c r="I29" s="12">
        <f>F29 * G29 * 15834.564328</f>
        <v>633.38257312000007</v>
      </c>
      <c r="J29" s="12">
        <f t="shared" si="4"/>
        <v>0</v>
      </c>
      <c r="K29" s="12">
        <f>F29 * G29 * 6309.677244</f>
        <v>252.38708976000001</v>
      </c>
      <c r="L29" s="13">
        <f t="shared" si="1"/>
        <v>1694.70264288</v>
      </c>
    </row>
    <row r="30" spans="2:12" ht="25.5">
      <c r="B30" s="7">
        <v>32</v>
      </c>
      <c r="C30" s="8" t="s">
        <v>82</v>
      </c>
      <c r="D30" s="9" t="s">
        <v>83</v>
      </c>
      <c r="E30" s="9" t="s">
        <v>84</v>
      </c>
      <c r="F30" s="10">
        <v>0.02</v>
      </c>
      <c r="G30" s="11">
        <v>2</v>
      </c>
      <c r="H30" s="12">
        <f>F30 * G30 * 68937.156</f>
        <v>2757.4862400000002</v>
      </c>
      <c r="I30" s="12">
        <f>F30 * G30 * 2140.763458</f>
        <v>85.630538319999999</v>
      </c>
      <c r="J30" s="12">
        <f t="shared" si="4"/>
        <v>0</v>
      </c>
      <c r="K30" s="12">
        <f>F30 * G30 * 21508.3926719999</f>
        <v>860.335706879996</v>
      </c>
      <c r="L30" s="13">
        <f t="shared" si="1"/>
        <v>3703.4524851999963</v>
      </c>
    </row>
    <row r="31" spans="2:12" ht="25.5">
      <c r="B31" s="7">
        <v>33</v>
      </c>
      <c r="C31" s="8" t="s">
        <v>85</v>
      </c>
      <c r="D31" s="9" t="s">
        <v>86</v>
      </c>
      <c r="E31" s="9" t="s">
        <v>84</v>
      </c>
      <c r="F31" s="10">
        <v>0.01</v>
      </c>
      <c r="G31" s="11">
        <v>1</v>
      </c>
      <c r="H31" s="12">
        <f>F31 * G31 * 52506.661</f>
        <v>525.06660999999997</v>
      </c>
      <c r="I31" s="12">
        <f>F31 * G31 * 13384.689778</f>
        <v>133.84689778000001</v>
      </c>
      <c r="J31" s="12">
        <f t="shared" si="4"/>
        <v>0</v>
      </c>
      <c r="K31" s="12">
        <f>F31 * G31 * 16382.078232</f>
        <v>163.82078232000001</v>
      </c>
      <c r="L31" s="13">
        <f t="shared" si="1"/>
        <v>822.73429009999995</v>
      </c>
    </row>
    <row r="32" spans="2:12">
      <c r="B32" s="7">
        <v>34</v>
      </c>
      <c r="C32" s="8" t="s">
        <v>87</v>
      </c>
      <c r="D32" s="9" t="s">
        <v>88</v>
      </c>
      <c r="E32" s="9" t="s">
        <v>89</v>
      </c>
      <c r="F32" s="10">
        <v>1</v>
      </c>
      <c r="G32" s="11">
        <v>1</v>
      </c>
      <c r="H32" s="12">
        <f>F32 * G32 * 1443.060826</f>
        <v>1443.0608259999999</v>
      </c>
      <c r="I32" s="12">
        <f>F32 * G32 * 9459.733517</f>
        <v>9459.7335170000006</v>
      </c>
      <c r="J32" s="12">
        <f t="shared" si="4"/>
        <v>0</v>
      </c>
      <c r="K32" s="12">
        <f>F32 * G32 * 450.234977</f>
        <v>450.23497700000001</v>
      </c>
      <c r="L32" s="13">
        <f t="shared" si="1"/>
        <v>11353.029320000001</v>
      </c>
    </row>
    <row r="33" spans="2:12" ht="25.5">
      <c r="B33" s="7">
        <v>35</v>
      </c>
      <c r="C33" s="8" t="s">
        <v>90</v>
      </c>
      <c r="D33" s="9" t="s">
        <v>91</v>
      </c>
      <c r="E33" s="9" t="s">
        <v>92</v>
      </c>
      <c r="F33" s="10">
        <v>0.1</v>
      </c>
      <c r="G33" s="11">
        <v>1</v>
      </c>
      <c r="H33" s="12">
        <f>F33 * G33 * 482.866087</f>
        <v>48.286608700000002</v>
      </c>
      <c r="I33" s="12">
        <f>F33 * G33 * 2138.058412</f>
        <v>213.8058412</v>
      </c>
      <c r="J33" s="12">
        <f t="shared" si="4"/>
        <v>0</v>
      </c>
      <c r="K33" s="12">
        <f>F33 * G33 * 150.654219</f>
        <v>15.065421900000002</v>
      </c>
      <c r="L33" s="13">
        <f t="shared" si="1"/>
        <v>277.15787180000001</v>
      </c>
    </row>
    <row r="34" spans="2:12" ht="25.5">
      <c r="B34" s="7">
        <v>36</v>
      </c>
      <c r="C34" s="8" t="s">
        <v>93</v>
      </c>
      <c r="D34" s="9" t="s">
        <v>94</v>
      </c>
      <c r="E34" s="9" t="s">
        <v>95</v>
      </c>
      <c r="F34" s="10">
        <v>0.01</v>
      </c>
      <c r="G34" s="11">
        <v>1</v>
      </c>
      <c r="H34" s="12">
        <f>F34 * G34 * 187460</f>
        <v>1874.6000000000001</v>
      </c>
      <c r="I34" s="12">
        <f>F34 * G34 * 12357.452188</f>
        <v>123.57452187999999</v>
      </c>
      <c r="J34" s="12">
        <f t="shared" si="4"/>
        <v>0</v>
      </c>
      <c r="K34" s="12">
        <f>F34 * G34 * 58487.52</f>
        <v>584.87519999999995</v>
      </c>
      <c r="L34" s="13">
        <f t="shared" si="1"/>
        <v>2583.0497218800001</v>
      </c>
    </row>
    <row r="35" spans="2:12">
      <c r="B35" s="7">
        <v>37</v>
      </c>
      <c r="C35" s="8" t="s">
        <v>96</v>
      </c>
      <c r="D35" s="9" t="s">
        <v>97</v>
      </c>
      <c r="E35" s="9" t="s">
        <v>98</v>
      </c>
      <c r="F35" s="10">
        <v>0.01</v>
      </c>
      <c r="G35" s="11">
        <v>1</v>
      </c>
      <c r="H35" s="12">
        <f>F35 * G35 * 12163.84</f>
        <v>121.6384</v>
      </c>
      <c r="I35" s="12">
        <f>F35 * G35 * 13301.676695</f>
        <v>133.01676695</v>
      </c>
      <c r="J35" s="12">
        <f t="shared" si="4"/>
        <v>0</v>
      </c>
      <c r="K35" s="12">
        <f>F35 * G35 * 3795.11807999999</f>
        <v>37.951180799999904</v>
      </c>
      <c r="L35" s="13">
        <f t="shared" si="1"/>
        <v>292.60634774999994</v>
      </c>
    </row>
    <row r="36" spans="2:12">
      <c r="B36" s="7">
        <v>38</v>
      </c>
      <c r="C36" s="8" t="s">
        <v>99</v>
      </c>
      <c r="D36" s="9" t="s">
        <v>100</v>
      </c>
      <c r="E36" s="9" t="s">
        <v>98</v>
      </c>
      <c r="F36" s="10">
        <v>0.02</v>
      </c>
      <c r="G36" s="11">
        <v>2</v>
      </c>
      <c r="H36" s="12">
        <f>F36 * G36 * 12163.84</f>
        <v>486.55360000000002</v>
      </c>
      <c r="I36" s="12">
        <f>F36 * G36 * 19640.465625</f>
        <v>785.61862500000007</v>
      </c>
      <c r="J36" s="12">
        <f t="shared" si="4"/>
        <v>0</v>
      </c>
      <c r="K36" s="12">
        <f>F36 * G36 * 3795.11807999999</f>
        <v>151.80472319999961</v>
      </c>
      <c r="L36" s="13">
        <f t="shared" si="1"/>
        <v>1423.9769481999997</v>
      </c>
    </row>
    <row r="37" spans="2:12" ht="25.5">
      <c r="B37" s="7">
        <v>40</v>
      </c>
      <c r="C37" s="8" t="s">
        <v>101</v>
      </c>
      <c r="D37" s="9" t="s">
        <v>102</v>
      </c>
      <c r="E37" s="9" t="s">
        <v>103</v>
      </c>
      <c r="F37" s="10">
        <v>0.02</v>
      </c>
      <c r="G37" s="11">
        <v>2</v>
      </c>
      <c r="H37" s="12">
        <f>F37 * G37 * 25868.15</f>
        <v>1034.7260000000001</v>
      </c>
      <c r="I37" s="12">
        <f>F37 * G37 * 45657.39542</f>
        <v>1826.2958168</v>
      </c>
      <c r="J37" s="12">
        <f t="shared" si="4"/>
        <v>0</v>
      </c>
      <c r="K37" s="12">
        <f>F37 * G37 * 8070.8628</f>
        <v>322.83451200000002</v>
      </c>
      <c r="L37" s="13">
        <f t="shared" si="1"/>
        <v>3183.8563288</v>
      </c>
    </row>
    <row r="38" spans="2:12" ht="25.5">
      <c r="B38" s="14">
        <v>42</v>
      </c>
      <c r="C38" s="15" t="s">
        <v>104</v>
      </c>
      <c r="D38" s="16" t="s">
        <v>105</v>
      </c>
      <c r="E38" s="16" t="s">
        <v>106</v>
      </c>
      <c r="F38" s="17">
        <v>1</v>
      </c>
      <c r="G38" s="18">
        <v>1</v>
      </c>
      <c r="H38" s="19">
        <f>F38 * G38 * 134.957</f>
        <v>134.95699999999999</v>
      </c>
      <c r="I38" s="19">
        <f>F38 * G38 * 1261.0566</f>
        <v>1261.0565999999999</v>
      </c>
      <c r="J38" s="19">
        <f t="shared" si="4"/>
        <v>0</v>
      </c>
      <c r="K38" s="19">
        <f>F38 * G38 * 42.106584</f>
        <v>42.106583999999998</v>
      </c>
      <c r="L38" s="20">
        <f t="shared" si="1"/>
        <v>1438.1201839999999</v>
      </c>
    </row>
    <row r="39" spans="2:12" ht="15">
      <c r="B39" s="28" t="s">
        <v>26</v>
      </c>
      <c r="C39" s="28"/>
      <c r="D39" s="28"/>
      <c r="E39" s="28"/>
      <c r="F39" s="28"/>
      <c r="G39" s="28"/>
      <c r="H39" s="24">
        <f t="shared" ref="H39:L39" si="5">SUM(H4:H38)</f>
        <v>29919.423195129999</v>
      </c>
      <c r="I39" s="24">
        <f t="shared" si="5"/>
        <v>62594.202078850009</v>
      </c>
      <c r="J39" s="24">
        <f t="shared" si="5"/>
        <v>14.96793716</v>
      </c>
      <c r="K39" s="24">
        <f t="shared" si="5"/>
        <v>9336.215564999995</v>
      </c>
      <c r="L39" s="24">
        <f t="shared" si="5"/>
        <v>101864.80877613999</v>
      </c>
    </row>
  </sheetData>
  <mergeCells count="2">
    <mergeCell ref="B2:K3"/>
    <mergeCell ref="B39:G3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1:L46"/>
  <sheetViews>
    <sheetView workbookViewId="0">
      <selection activeCell="B2" sqref="B2:K3"/>
    </sheetView>
  </sheetViews>
  <sheetFormatPr defaultRowHeight="15.75"/>
  <cols>
    <col min="1" max="1" width="0.42578125" customWidth="1"/>
    <col min="2" max="2" width="6" style="1" customWidth="1"/>
    <col min="3" max="3" width="13" style="2" customWidth="1"/>
    <col min="4" max="4" width="50" style="3" customWidth="1"/>
    <col min="5" max="5" width="20" style="3" customWidth="1"/>
    <col min="6" max="7" width="12" style="4" customWidth="1"/>
    <col min="8" max="9" width="14" style="5" customWidth="1"/>
    <col min="10" max="10" width="13" style="5" customWidth="1"/>
    <col min="11" max="11" width="14" style="5" customWidth="1"/>
    <col min="12" max="12" width="14.85546875" style="5" customWidth="1"/>
  </cols>
  <sheetData>
    <row r="1" spans="2:12" ht="36">
      <c r="B1" s="21" t="s">
        <v>1</v>
      </c>
      <c r="C1" s="22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3" t="s">
        <v>7</v>
      </c>
      <c r="I1" s="23" t="s">
        <v>8</v>
      </c>
      <c r="J1" s="23" t="s">
        <v>9</v>
      </c>
      <c r="K1" s="23" t="s">
        <v>10</v>
      </c>
      <c r="L1" s="23" t="s">
        <v>11</v>
      </c>
    </row>
    <row r="2" spans="2:12" thickBot="1">
      <c r="B2" s="29" t="s">
        <v>134</v>
      </c>
      <c r="C2" s="29"/>
      <c r="D2" s="29"/>
      <c r="E2" s="29"/>
      <c r="F2" s="29"/>
      <c r="G2" s="29"/>
      <c r="H2" s="29"/>
      <c r="I2" s="29"/>
      <c r="J2" s="29"/>
      <c r="K2" s="29"/>
      <c r="L2" s="27"/>
    </row>
    <row r="3" spans="2:12" ht="16.5" thickTop="1" thickBot="1">
      <c r="B3" s="30"/>
      <c r="C3" s="30"/>
      <c r="D3" s="30"/>
      <c r="E3" s="30"/>
      <c r="F3" s="30"/>
      <c r="G3" s="30"/>
      <c r="H3" s="30"/>
      <c r="I3" s="30"/>
      <c r="J3" s="30"/>
      <c r="K3" s="30"/>
      <c r="L3" s="26"/>
    </row>
    <row r="4" spans="2:12" ht="39" thickTop="1">
      <c r="B4" s="7">
        <v>1</v>
      </c>
      <c r="C4" s="8" t="s">
        <v>12</v>
      </c>
      <c r="D4" s="9" t="s">
        <v>13</v>
      </c>
      <c r="E4" s="9" t="s">
        <v>14</v>
      </c>
      <c r="F4" s="10">
        <v>0.01</v>
      </c>
      <c r="G4" s="11">
        <v>1</v>
      </c>
      <c r="H4" s="12">
        <f>F4 * G4 * 15639.52</f>
        <v>156.39520000000002</v>
      </c>
      <c r="I4" s="12">
        <f>F4 * G4 * 21705.165506</f>
        <v>217.05165506000003</v>
      </c>
      <c r="J4" s="12">
        <f t="shared" ref="J4:J5" si="0">F4 * G4 * 0</f>
        <v>0</v>
      </c>
      <c r="K4" s="12">
        <f>F4 * G4 * 4879.53024</f>
        <v>48.795302400000004</v>
      </c>
      <c r="L4" s="13">
        <f t="shared" ref="L4:L45" si="1">SUM(H4:K4)</f>
        <v>422.2421574600001</v>
      </c>
    </row>
    <row r="5" spans="2:12" ht="38.25">
      <c r="B5" s="7">
        <v>2</v>
      </c>
      <c r="C5" s="8" t="s">
        <v>15</v>
      </c>
      <c r="D5" s="9" t="s">
        <v>16</v>
      </c>
      <c r="E5" s="9" t="s">
        <v>14</v>
      </c>
      <c r="F5" s="10">
        <v>0.01</v>
      </c>
      <c r="G5" s="11">
        <v>1</v>
      </c>
      <c r="H5" s="12">
        <f>F5 * G5 * 16576.82</f>
        <v>165.76820000000001</v>
      </c>
      <c r="I5" s="12">
        <f>F5 * G5 * 34762.843598</f>
        <v>347.62843598000001</v>
      </c>
      <c r="J5" s="12">
        <f t="shared" si="0"/>
        <v>0</v>
      </c>
      <c r="K5" s="12">
        <f>F5 * G5 * 5171.96784</f>
        <v>51.719678400000006</v>
      </c>
      <c r="L5" s="13">
        <f t="shared" si="1"/>
        <v>565.11631438000006</v>
      </c>
    </row>
    <row r="6" spans="2:12">
      <c r="B6" s="7">
        <v>3</v>
      </c>
      <c r="C6" s="8" t="s">
        <v>27</v>
      </c>
      <c r="D6" s="9" t="s">
        <v>28</v>
      </c>
      <c r="E6" s="9" t="s">
        <v>29</v>
      </c>
      <c r="F6" s="10">
        <v>0.03</v>
      </c>
      <c r="G6" s="11">
        <v>3</v>
      </c>
      <c r="H6" s="12">
        <f>F6 * G6 * 3910.157507</f>
        <v>351.91417562999999</v>
      </c>
      <c r="I6" s="12">
        <f>F6 * G6 * 41845.140276</f>
        <v>3766.0626248399999</v>
      </c>
      <c r="J6" s="12">
        <f>F6 * G6 * 204.802785</f>
        <v>18.43225065</v>
      </c>
      <c r="K6" s="12">
        <f>F6 * G6 * 1235.142821</f>
        <v>111.16285388999999</v>
      </c>
      <c r="L6" s="13">
        <f t="shared" si="1"/>
        <v>4247.5719050100006</v>
      </c>
    </row>
    <row r="7" spans="2:12" ht="25.5">
      <c r="B7" s="7">
        <v>4</v>
      </c>
      <c r="C7" s="8" t="s">
        <v>30</v>
      </c>
      <c r="D7" s="9" t="s">
        <v>31</v>
      </c>
      <c r="E7" s="9" t="s">
        <v>32</v>
      </c>
      <c r="F7" s="10">
        <v>0.03</v>
      </c>
      <c r="G7" s="11">
        <v>3</v>
      </c>
      <c r="H7" s="12">
        <f>F7 * G7 * 7529.896158</f>
        <v>677.69065421999994</v>
      </c>
      <c r="I7" s="12">
        <f>F7 * G7 * 81375.866004</f>
        <v>7323.827940359999</v>
      </c>
      <c r="J7" s="12">
        <f>F7 * G7 * 391.708823</f>
        <v>35.253794069999998</v>
      </c>
      <c r="K7" s="12">
        <f>F7 * G7 * 2376.640223</f>
        <v>213.89762006999999</v>
      </c>
      <c r="L7" s="13">
        <f t="shared" si="1"/>
        <v>8250.6700087199988</v>
      </c>
    </row>
    <row r="8" spans="2:12" ht="25.5">
      <c r="B8" s="7">
        <v>5</v>
      </c>
      <c r="C8" s="8" t="s">
        <v>18</v>
      </c>
      <c r="D8" s="9" t="s">
        <v>19</v>
      </c>
      <c r="E8" s="9" t="s">
        <v>17</v>
      </c>
      <c r="F8" s="10">
        <v>0.01</v>
      </c>
      <c r="G8" s="11">
        <v>1</v>
      </c>
      <c r="H8" s="12">
        <f>F8 * G8 * 13711.78</f>
        <v>137.11780000000002</v>
      </c>
      <c r="I8" s="12">
        <f>F8 * G8 * 2871.662897</f>
        <v>28.716628970000002</v>
      </c>
      <c r="J8" s="12">
        <f>F8 * G8 * 0</f>
        <v>0</v>
      </c>
      <c r="K8" s="12">
        <f>F8 * G8 * 4278.07536</f>
        <v>42.780753599999997</v>
      </c>
      <c r="L8" s="13">
        <f t="shared" si="1"/>
        <v>208.61518257000003</v>
      </c>
    </row>
    <row r="9" spans="2:12" ht="25.5">
      <c r="B9" s="7">
        <v>6</v>
      </c>
      <c r="C9" s="8" t="s">
        <v>20</v>
      </c>
      <c r="D9" s="9" t="s">
        <v>21</v>
      </c>
      <c r="E9" s="9" t="s">
        <v>22</v>
      </c>
      <c r="F9" s="10">
        <v>0.03</v>
      </c>
      <c r="G9" s="11">
        <v>3</v>
      </c>
      <c r="H9" s="12">
        <f>F9 * G9 * 2387.741</f>
        <v>214.89668999999998</v>
      </c>
      <c r="I9" s="12">
        <f>F9 * G9 * 756.000504</f>
        <v>68.040045359999993</v>
      </c>
      <c r="J9" s="12">
        <f t="shared" ref="J9:J10" si="2">F9 * G9 * 0</f>
        <v>0</v>
      </c>
      <c r="K9" s="12">
        <f>F9 * G9 * 744.975192</f>
        <v>67.047767280000002</v>
      </c>
      <c r="L9" s="13">
        <f t="shared" si="1"/>
        <v>349.98450263999996</v>
      </c>
    </row>
    <row r="10" spans="2:12" ht="25.5">
      <c r="B10" s="7">
        <v>7</v>
      </c>
      <c r="C10" s="8" t="s">
        <v>23</v>
      </c>
      <c r="D10" s="9" t="s">
        <v>24</v>
      </c>
      <c r="E10" s="9" t="s">
        <v>25</v>
      </c>
      <c r="F10" s="10">
        <v>0.02</v>
      </c>
      <c r="G10" s="11">
        <v>2</v>
      </c>
      <c r="H10" s="12">
        <f>F10 * G10 * 7328.71</f>
        <v>293.14839999999998</v>
      </c>
      <c r="I10" s="12">
        <f>F10 * G10 * 110433.355</f>
        <v>4417.3342000000002</v>
      </c>
      <c r="J10" s="12">
        <f t="shared" si="2"/>
        <v>0</v>
      </c>
      <c r="K10" s="12">
        <f>F10 * G10 * 2286.55752</f>
        <v>91.462300799999994</v>
      </c>
      <c r="L10" s="13">
        <f t="shared" si="1"/>
        <v>4801.9449008000001</v>
      </c>
    </row>
    <row r="11" spans="2:12">
      <c r="B11" s="7">
        <v>8</v>
      </c>
      <c r="C11" s="8" t="s">
        <v>27</v>
      </c>
      <c r="D11" s="9" t="s">
        <v>28</v>
      </c>
      <c r="E11" s="9" t="s">
        <v>29</v>
      </c>
      <c r="F11" s="10">
        <v>0.03</v>
      </c>
      <c r="G11" s="11">
        <v>2</v>
      </c>
      <c r="H11" s="12">
        <f>F11 * G11 * 3910.157507</f>
        <v>234.60945041999997</v>
      </c>
      <c r="I11" s="12">
        <f>F11 * G11 * 41845.140276</f>
        <v>2510.7084165599999</v>
      </c>
      <c r="J11" s="12">
        <f>F11 * G11 * 204.802785</f>
        <v>12.288167099999999</v>
      </c>
      <c r="K11" s="12">
        <f>F11 * G11 * 1235.142821</f>
        <v>74.108569259999996</v>
      </c>
      <c r="L11" s="13">
        <f t="shared" si="1"/>
        <v>2831.7146033399999</v>
      </c>
    </row>
    <row r="12" spans="2:12" ht="25.5">
      <c r="B12" s="7">
        <v>9</v>
      </c>
      <c r="C12" s="8" t="s">
        <v>30</v>
      </c>
      <c r="D12" s="9" t="s">
        <v>31</v>
      </c>
      <c r="E12" s="9" t="s">
        <v>32</v>
      </c>
      <c r="F12" s="10">
        <v>0.04</v>
      </c>
      <c r="G12" s="11">
        <v>2</v>
      </c>
      <c r="H12" s="12">
        <f>F12 * G12 * 7529.896158</f>
        <v>602.39169263999997</v>
      </c>
      <c r="I12" s="12">
        <f>F12 * G12 * 81375.866004</f>
        <v>6510.06928032</v>
      </c>
      <c r="J12" s="12">
        <f>F12 * G12 * 391.708823</f>
        <v>31.33670584</v>
      </c>
      <c r="K12" s="12">
        <f>F12 * G12 * 2376.640223</f>
        <v>190.13121784000001</v>
      </c>
      <c r="L12" s="13">
        <f t="shared" si="1"/>
        <v>7333.9288966399999</v>
      </c>
    </row>
    <row r="13" spans="2:12" ht="25.5">
      <c r="B13" s="7">
        <v>10</v>
      </c>
      <c r="C13" s="8" t="s">
        <v>33</v>
      </c>
      <c r="D13" s="9" t="s">
        <v>34</v>
      </c>
      <c r="E13" s="9" t="s">
        <v>29</v>
      </c>
      <c r="F13" s="10">
        <v>0.05</v>
      </c>
      <c r="G13" s="11">
        <v>2</v>
      </c>
      <c r="H13" s="12">
        <f>F13 * G13 * 2289.63494</f>
        <v>228.963494</v>
      </c>
      <c r="I13" s="12">
        <f>F13 * G13 * 8888.9847</f>
        <v>888.89847000000009</v>
      </c>
      <c r="J13" s="12">
        <f>F13 * G13 * 225.070527</f>
        <v>22.507052700000003</v>
      </c>
      <c r="K13" s="12">
        <f>F13 * G13 * 737.632408</f>
        <v>73.763240800000005</v>
      </c>
      <c r="L13" s="13">
        <f t="shared" si="1"/>
        <v>1214.1322575000002</v>
      </c>
    </row>
    <row r="14" spans="2:12" ht="25.5">
      <c r="B14" s="7">
        <v>11</v>
      </c>
      <c r="C14" s="8" t="s">
        <v>110</v>
      </c>
      <c r="D14" s="9" t="s">
        <v>111</v>
      </c>
      <c r="E14" s="9" t="s">
        <v>112</v>
      </c>
      <c r="F14" s="10">
        <v>0.2</v>
      </c>
      <c r="G14" s="11">
        <v>1</v>
      </c>
      <c r="H14" s="12">
        <f>F14 * G14 * 1440.234</f>
        <v>288.04680000000002</v>
      </c>
      <c r="I14" s="12">
        <f>F14 * G14 * 373.563353</f>
        <v>74.71267060000001</v>
      </c>
      <c r="J14" s="12">
        <f t="shared" ref="J14:J19" si="3">F14 * G14 * 0</f>
        <v>0</v>
      </c>
      <c r="K14" s="12">
        <f>F14 * G14 * 449.353008</f>
        <v>89.870601600000001</v>
      </c>
      <c r="L14" s="13">
        <f t="shared" si="1"/>
        <v>452.63007220000003</v>
      </c>
    </row>
    <row r="15" spans="2:12">
      <c r="B15" s="7">
        <v>12</v>
      </c>
      <c r="C15" s="8" t="s">
        <v>113</v>
      </c>
      <c r="D15" s="9" t="s">
        <v>114</v>
      </c>
      <c r="E15" s="9" t="s">
        <v>115</v>
      </c>
      <c r="F15" s="10">
        <v>4</v>
      </c>
      <c r="G15" s="11">
        <v>1</v>
      </c>
      <c r="H15" s="12">
        <f>F15 * G15 * 14.1846</f>
        <v>56.738399999999999</v>
      </c>
      <c r="I15" s="12">
        <f>F15 * G15 * 1.533433</f>
        <v>6.1337320000000002</v>
      </c>
      <c r="J15" s="12">
        <f t="shared" si="3"/>
        <v>0</v>
      </c>
      <c r="K15" s="12">
        <f>F15 * G15 * 4.425595</f>
        <v>17.702380000000002</v>
      </c>
      <c r="L15" s="13">
        <f t="shared" si="1"/>
        <v>80.574511999999999</v>
      </c>
    </row>
    <row r="16" spans="2:12">
      <c r="B16" s="7">
        <v>13</v>
      </c>
      <c r="C16" s="8" t="s">
        <v>35</v>
      </c>
      <c r="D16" s="9" t="s">
        <v>36</v>
      </c>
      <c r="E16" s="9" t="s">
        <v>37</v>
      </c>
      <c r="F16" s="10">
        <v>1</v>
      </c>
      <c r="G16" s="11">
        <v>1</v>
      </c>
      <c r="H16" s="12">
        <f>F16 * G16 * 125.3537</f>
        <v>125.3537</v>
      </c>
      <c r="I16" s="12">
        <f>F16 * G16 * 68.385752</f>
        <v>68.385751999999997</v>
      </c>
      <c r="J16" s="12">
        <f t="shared" si="3"/>
        <v>0</v>
      </c>
      <c r="K16" s="12">
        <f>F16 * G16 * 39.110354</f>
        <v>39.110354000000001</v>
      </c>
      <c r="L16" s="13">
        <f t="shared" si="1"/>
        <v>232.849806</v>
      </c>
    </row>
    <row r="17" spans="2:12">
      <c r="B17" s="7">
        <v>14</v>
      </c>
      <c r="C17" s="8" t="s">
        <v>38</v>
      </c>
      <c r="D17" s="9" t="s">
        <v>39</v>
      </c>
      <c r="E17" s="9" t="s">
        <v>40</v>
      </c>
      <c r="F17" s="10">
        <v>1</v>
      </c>
      <c r="G17" s="11">
        <v>1</v>
      </c>
      <c r="H17" s="12">
        <f>F17 * G17 * 35.4615</f>
        <v>35.461500000000001</v>
      </c>
      <c r="I17" s="12">
        <f>F17 * G17 * 158.431504</f>
        <v>158.43150399999999</v>
      </c>
      <c r="J17" s="12">
        <f t="shared" si="3"/>
        <v>0</v>
      </c>
      <c r="K17" s="12">
        <f>F17 * G17 * 11.063988</f>
        <v>11.063988</v>
      </c>
      <c r="L17" s="13">
        <f t="shared" si="1"/>
        <v>204.95699199999999</v>
      </c>
    </row>
    <row r="18" spans="2:12">
      <c r="B18" s="7">
        <v>15</v>
      </c>
      <c r="C18" s="8" t="s">
        <v>41</v>
      </c>
      <c r="D18" s="9" t="s">
        <v>42</v>
      </c>
      <c r="E18" s="9" t="s">
        <v>43</v>
      </c>
      <c r="F18" s="10">
        <v>0</v>
      </c>
      <c r="G18" s="11">
        <v>0</v>
      </c>
      <c r="H18" s="12">
        <f>F18 * G18 * 25248.588</f>
        <v>0</v>
      </c>
      <c r="I18" s="12">
        <f>F18 * G18 * 65571.509155</f>
        <v>0</v>
      </c>
      <c r="J18" s="12">
        <f t="shared" si="3"/>
        <v>0</v>
      </c>
      <c r="K18" s="12">
        <f>F18 * G18 * 7877.559456</f>
        <v>0</v>
      </c>
      <c r="L18" s="13">
        <f t="shared" si="1"/>
        <v>0</v>
      </c>
    </row>
    <row r="19" spans="2:12">
      <c r="B19" s="7">
        <v>16</v>
      </c>
      <c r="C19" s="8" t="s">
        <v>120</v>
      </c>
      <c r="D19" s="9" t="s">
        <v>121</v>
      </c>
      <c r="E19" s="9" t="s">
        <v>43</v>
      </c>
      <c r="F19" s="10">
        <v>1</v>
      </c>
      <c r="G19" s="11">
        <v>0.01</v>
      </c>
      <c r="H19" s="12">
        <f>F19 * G19 * 17305.212</f>
        <v>173.05212</v>
      </c>
      <c r="I19" s="12">
        <f>F19 * G19 * 69099.634507</f>
        <v>690.99634506999996</v>
      </c>
      <c r="J19" s="12">
        <f t="shared" si="3"/>
        <v>0</v>
      </c>
      <c r="K19" s="12">
        <f>F19 * G19 * 5399.226144</f>
        <v>53.99226144</v>
      </c>
      <c r="L19" s="13">
        <f t="shared" si="1"/>
        <v>918.04072651000001</v>
      </c>
    </row>
    <row r="20" spans="2:12">
      <c r="B20" s="7">
        <v>17</v>
      </c>
      <c r="C20" s="8" t="s">
        <v>44</v>
      </c>
      <c r="D20" s="9" t="s">
        <v>45</v>
      </c>
      <c r="E20" s="9" t="s">
        <v>46</v>
      </c>
      <c r="F20" s="10">
        <v>5.0000000000000001E-3</v>
      </c>
      <c r="G20" s="11">
        <v>1</v>
      </c>
      <c r="H20" s="12">
        <f>F20 * G20 * 47282</f>
        <v>236.41</v>
      </c>
      <c r="I20" s="12">
        <f>F20 * G20 * 76576.12775</f>
        <v>382.88063875</v>
      </c>
      <c r="J20" s="12">
        <f>F20 * G20 * 0</f>
        <v>0</v>
      </c>
      <c r="K20" s="12">
        <f>F20 * G20 * 14751.984</f>
        <v>73.759920000000008</v>
      </c>
      <c r="L20" s="13">
        <f t="shared" si="1"/>
        <v>693.05055874999994</v>
      </c>
    </row>
    <row r="21" spans="2:12">
      <c r="B21" s="7">
        <v>18</v>
      </c>
      <c r="C21" s="8" t="s">
        <v>47</v>
      </c>
      <c r="D21" s="9" t="s">
        <v>48</v>
      </c>
      <c r="E21" s="9" t="s">
        <v>49</v>
      </c>
      <c r="F21" s="10">
        <v>1</v>
      </c>
      <c r="G21" s="11">
        <v>1</v>
      </c>
      <c r="H21" s="12">
        <f>F21 * G21 * 44.9179</f>
        <v>44.917900000000003</v>
      </c>
      <c r="I21" s="12">
        <f>F21 * G21 * 44.1864</f>
        <v>44.186399999999999</v>
      </c>
      <c r="J21" s="12">
        <f t="shared" ref="J21:J45" si="4">F21 * G21 * 0</f>
        <v>0</v>
      </c>
      <c r="K21" s="12">
        <f>F21 * G21 * 14.014385</f>
        <v>14.014385000000001</v>
      </c>
      <c r="L21" s="13">
        <f t="shared" si="1"/>
        <v>103.118685</v>
      </c>
    </row>
    <row r="22" spans="2:12" ht="25.5">
      <c r="B22" s="7">
        <v>19</v>
      </c>
      <c r="C22" s="8" t="s">
        <v>50</v>
      </c>
      <c r="D22" s="9" t="s">
        <v>51</v>
      </c>
      <c r="E22" s="9" t="s">
        <v>52</v>
      </c>
      <c r="F22" s="10">
        <v>2</v>
      </c>
      <c r="G22" s="11">
        <v>2</v>
      </c>
      <c r="H22" s="12">
        <f>F22 * G22 * 237.81681</f>
        <v>951.26724000000002</v>
      </c>
      <c r="I22" s="12">
        <f>F22 * G22 * 479.105858</f>
        <v>1916.423432</v>
      </c>
      <c r="J22" s="12">
        <f t="shared" si="4"/>
        <v>0</v>
      </c>
      <c r="K22" s="12">
        <f>F22 * G22 * 74.198845</f>
        <v>296.79538000000002</v>
      </c>
      <c r="L22" s="13">
        <f t="shared" si="1"/>
        <v>3164.4860520000002</v>
      </c>
    </row>
    <row r="23" spans="2:12" ht="25.5">
      <c r="B23" s="7">
        <v>20</v>
      </c>
      <c r="C23" s="8" t="s">
        <v>53</v>
      </c>
      <c r="D23" s="9" t="s">
        <v>54</v>
      </c>
      <c r="E23" s="9" t="s">
        <v>52</v>
      </c>
      <c r="F23" s="10">
        <v>2</v>
      </c>
      <c r="G23" s="11">
        <v>2</v>
      </c>
      <c r="H23" s="12">
        <f>F23 * G23 * 37.8256</f>
        <v>151.30240000000001</v>
      </c>
      <c r="I23" s="12">
        <f>F23 * G23 * 43.9812</f>
        <v>175.9248</v>
      </c>
      <c r="J23" s="12">
        <f t="shared" si="4"/>
        <v>0</v>
      </c>
      <c r="K23" s="12">
        <f>F23 * G23 * 11.801587</f>
        <v>47.206347999999998</v>
      </c>
      <c r="L23" s="13">
        <f t="shared" si="1"/>
        <v>374.43354800000003</v>
      </c>
    </row>
    <row r="24" spans="2:12">
      <c r="B24" s="7">
        <v>21</v>
      </c>
      <c r="C24" s="8" t="s">
        <v>55</v>
      </c>
      <c r="D24" s="9" t="s">
        <v>56</v>
      </c>
      <c r="E24" s="9" t="s">
        <v>57</v>
      </c>
      <c r="F24" s="10">
        <v>2</v>
      </c>
      <c r="G24" s="11">
        <v>2</v>
      </c>
      <c r="H24" s="12">
        <f>F24 * G24 * 22.45895</f>
        <v>89.835800000000006</v>
      </c>
      <c r="I24" s="12">
        <f>F24 * G24 * 141.0294</f>
        <v>564.11760000000004</v>
      </c>
      <c r="J24" s="12">
        <f t="shared" si="4"/>
        <v>0</v>
      </c>
      <c r="K24" s="12">
        <f>F24 * G24 * 7.007193</f>
        <v>28.028772</v>
      </c>
      <c r="L24" s="13">
        <f t="shared" si="1"/>
        <v>681.98217200000011</v>
      </c>
    </row>
    <row r="25" spans="2:12" ht="38.25">
      <c r="B25" s="7">
        <v>22</v>
      </c>
      <c r="C25" s="8" t="s">
        <v>58</v>
      </c>
      <c r="D25" s="9" t="s">
        <v>59</v>
      </c>
      <c r="E25" s="9" t="s">
        <v>14</v>
      </c>
      <c r="F25" s="10">
        <v>0.02</v>
      </c>
      <c r="G25" s="11">
        <v>1</v>
      </c>
      <c r="H25" s="12">
        <f>F25 * G25 * 17618.977</f>
        <v>352.37953999999996</v>
      </c>
      <c r="I25" s="12">
        <f>F25 * G25 * 18074.952694</f>
        <v>361.49905388000002</v>
      </c>
      <c r="J25" s="12">
        <f t="shared" si="4"/>
        <v>0</v>
      </c>
      <c r="K25" s="12">
        <f>F25 * G25 * 5497.120824</f>
        <v>109.94241647999999</v>
      </c>
      <c r="L25" s="13">
        <f t="shared" si="1"/>
        <v>823.82101035999995</v>
      </c>
    </row>
    <row r="26" spans="2:12" ht="38.25">
      <c r="B26" s="7">
        <v>23</v>
      </c>
      <c r="C26" s="8" t="s">
        <v>60</v>
      </c>
      <c r="D26" s="9" t="s">
        <v>61</v>
      </c>
      <c r="E26" s="9" t="s">
        <v>14</v>
      </c>
      <c r="F26" s="10">
        <v>0.02</v>
      </c>
      <c r="G26" s="11">
        <v>1</v>
      </c>
      <c r="H26" s="12">
        <f>F26 * G26 * 19453.3435</f>
        <v>389.06686999999999</v>
      </c>
      <c r="I26" s="12">
        <f>F26 * G26 * 25367.354534</f>
        <v>507.34709067999995</v>
      </c>
      <c r="J26" s="12">
        <f t="shared" si="4"/>
        <v>0</v>
      </c>
      <c r="K26" s="12">
        <f>F26 * G26 * 6069.443172</f>
        <v>121.38886344000001</v>
      </c>
      <c r="L26" s="13">
        <f t="shared" si="1"/>
        <v>1017.80282412</v>
      </c>
    </row>
    <row r="27" spans="2:12">
      <c r="B27" s="7">
        <v>24</v>
      </c>
      <c r="C27" s="8" t="s">
        <v>62</v>
      </c>
      <c r="D27" s="9" t="s">
        <v>63</v>
      </c>
      <c r="E27" s="9" t="s">
        <v>64</v>
      </c>
      <c r="F27" s="10">
        <v>0.01</v>
      </c>
      <c r="G27" s="11">
        <v>1</v>
      </c>
      <c r="H27" s="12">
        <f>F27 * G27 * 6713.504</f>
        <v>67.135040000000004</v>
      </c>
      <c r="I27" s="12">
        <f>F27 * G27 * 6955.135292</f>
        <v>69.551352919999999</v>
      </c>
      <c r="J27" s="12">
        <f t="shared" si="4"/>
        <v>0</v>
      </c>
      <c r="K27" s="12">
        <f>F27 * G27 * 2094.613248</f>
        <v>20.946132480000003</v>
      </c>
      <c r="L27" s="13">
        <f t="shared" si="1"/>
        <v>157.63252540000002</v>
      </c>
    </row>
    <row r="28" spans="2:12" ht="25.5">
      <c r="B28" s="7">
        <v>25</v>
      </c>
      <c r="C28" s="8" t="s">
        <v>65</v>
      </c>
      <c r="D28" s="9" t="s">
        <v>66</v>
      </c>
      <c r="E28" s="9" t="s">
        <v>67</v>
      </c>
      <c r="F28" s="10">
        <v>2</v>
      </c>
      <c r="G28" s="11">
        <v>2</v>
      </c>
      <c r="H28" s="12">
        <f>F28 * G28 * 30.7333</f>
        <v>122.9332</v>
      </c>
      <c r="I28" s="12">
        <f>F28 * G28 * 6.05454</f>
        <v>24.218160000000001</v>
      </c>
      <c r="J28" s="12">
        <f t="shared" si="4"/>
        <v>0</v>
      </c>
      <c r="K28" s="12">
        <f>F28 * G28 * 9.58879</f>
        <v>38.355159999999998</v>
      </c>
      <c r="L28" s="13">
        <f t="shared" si="1"/>
        <v>185.50652000000002</v>
      </c>
    </row>
    <row r="29" spans="2:12" ht="25.5">
      <c r="B29" s="7">
        <v>26</v>
      </c>
      <c r="C29" s="8" t="s">
        <v>68</v>
      </c>
      <c r="D29" s="9" t="s">
        <v>69</v>
      </c>
      <c r="E29" s="9" t="s">
        <v>70</v>
      </c>
      <c r="F29" s="10">
        <v>0</v>
      </c>
      <c r="G29" s="11">
        <v>0</v>
      </c>
      <c r="H29" s="12">
        <f>F29 * G29 * 4122.7215</f>
        <v>0</v>
      </c>
      <c r="I29" s="12">
        <f>F29 * G29 * 0</f>
        <v>0</v>
      </c>
      <c r="J29" s="12">
        <f t="shared" si="4"/>
        <v>0</v>
      </c>
      <c r="K29" s="12">
        <f>F29 * G29 * 1286.289108</f>
        <v>0</v>
      </c>
      <c r="L29" s="13">
        <f t="shared" si="1"/>
        <v>0</v>
      </c>
    </row>
    <row r="30" spans="2:12" ht="25.5">
      <c r="B30" s="7">
        <v>27</v>
      </c>
      <c r="C30" s="8" t="s">
        <v>71</v>
      </c>
      <c r="D30" s="9" t="s">
        <v>72</v>
      </c>
      <c r="E30" s="9" t="s">
        <v>73</v>
      </c>
      <c r="F30" s="10">
        <v>0.01</v>
      </c>
      <c r="G30" s="11">
        <v>1</v>
      </c>
      <c r="H30" s="12">
        <f>F30 * G30 * 17320.196583</f>
        <v>173.20196583000001</v>
      </c>
      <c r="I30" s="12">
        <f>F30 * G30 * 323569.609729</f>
        <v>3235.6960972900001</v>
      </c>
      <c r="J30" s="12">
        <f t="shared" si="4"/>
        <v>0</v>
      </c>
      <c r="K30" s="12">
        <f>F30 * G30 * 5403.90133399999</f>
        <v>54.039013339999904</v>
      </c>
      <c r="L30" s="13">
        <f t="shared" si="1"/>
        <v>3462.9370764600003</v>
      </c>
    </row>
    <row r="31" spans="2:12" ht="25.5">
      <c r="B31" s="7">
        <v>28</v>
      </c>
      <c r="C31" s="8" t="s">
        <v>74</v>
      </c>
      <c r="D31" s="9" t="s">
        <v>75</v>
      </c>
      <c r="E31" s="9" t="s">
        <v>76</v>
      </c>
      <c r="F31" s="10">
        <v>0.01</v>
      </c>
      <c r="G31" s="11">
        <v>1</v>
      </c>
      <c r="H31" s="12">
        <f>F31 * G31 * 19048.365</f>
        <v>190.48365000000001</v>
      </c>
      <c r="I31" s="12">
        <f>F31 * G31 * 17188.559066</f>
        <v>171.88559066000002</v>
      </c>
      <c r="J31" s="12">
        <f t="shared" si="4"/>
        <v>0</v>
      </c>
      <c r="K31" s="12">
        <f>F31 * G31 * 5943.08988</f>
        <v>59.430898800000008</v>
      </c>
      <c r="L31" s="13">
        <f t="shared" si="1"/>
        <v>421.80013946000008</v>
      </c>
    </row>
    <row r="32" spans="2:12" ht="25.5">
      <c r="B32" s="7">
        <v>29</v>
      </c>
      <c r="C32" s="8" t="s">
        <v>116</v>
      </c>
      <c r="D32" s="9" t="s">
        <v>117</v>
      </c>
      <c r="E32" s="9" t="s">
        <v>76</v>
      </c>
      <c r="F32" s="10">
        <v>0.01</v>
      </c>
      <c r="G32" s="11">
        <v>1</v>
      </c>
      <c r="H32" s="12">
        <f>F32 * G32 * 24221.995</f>
        <v>242.21994999999998</v>
      </c>
      <c r="I32" s="12">
        <f>F32 * G32 * 37397.213283</f>
        <v>373.97213282999996</v>
      </c>
      <c r="J32" s="12">
        <f t="shared" si="4"/>
        <v>0</v>
      </c>
      <c r="K32" s="12">
        <f>F32 * G32 * 7557.26243999999</f>
        <v>75.57262439999991</v>
      </c>
      <c r="L32" s="13">
        <f t="shared" si="1"/>
        <v>691.76470722999977</v>
      </c>
    </row>
    <row r="33" spans="2:12" ht="38.25">
      <c r="B33" s="7">
        <v>30</v>
      </c>
      <c r="C33" s="8" t="s">
        <v>77</v>
      </c>
      <c r="D33" s="9" t="s">
        <v>78</v>
      </c>
      <c r="E33" s="9" t="s">
        <v>79</v>
      </c>
      <c r="F33" s="10">
        <v>0.02</v>
      </c>
      <c r="G33" s="11">
        <v>1</v>
      </c>
      <c r="H33" s="12">
        <f>F33 * G33 * 19260.309046</f>
        <v>385.20618091999995</v>
      </c>
      <c r="I33" s="12">
        <f>F33 * G33 * 13074.274888</f>
        <v>261.48549775999999</v>
      </c>
      <c r="J33" s="12">
        <f t="shared" si="4"/>
        <v>0</v>
      </c>
      <c r="K33" s="12">
        <f>F33 * G33 * 6009.21642199999</f>
        <v>120.18432843999982</v>
      </c>
      <c r="L33" s="13">
        <f t="shared" si="1"/>
        <v>766.87600711999983</v>
      </c>
    </row>
    <row r="34" spans="2:12" ht="38.25">
      <c r="B34" s="7">
        <v>31</v>
      </c>
      <c r="C34" s="8" t="s">
        <v>80</v>
      </c>
      <c r="D34" s="9" t="s">
        <v>81</v>
      </c>
      <c r="E34" s="9" t="s">
        <v>79</v>
      </c>
      <c r="F34" s="10">
        <v>0.01</v>
      </c>
      <c r="G34" s="11">
        <v>1</v>
      </c>
      <c r="H34" s="12">
        <f>F34 * G34 * 20223.3245</f>
        <v>202.23324499999998</v>
      </c>
      <c r="I34" s="12">
        <f>F34 * G34 * 15834.564328</f>
        <v>158.34564328000002</v>
      </c>
      <c r="J34" s="12">
        <f t="shared" si="4"/>
        <v>0</v>
      </c>
      <c r="K34" s="12">
        <f>F34 * G34 * 6309.677244</f>
        <v>63.096772440000002</v>
      </c>
      <c r="L34" s="13">
        <f t="shared" si="1"/>
        <v>423.67566072</v>
      </c>
    </row>
    <row r="35" spans="2:12" ht="25.5">
      <c r="B35" s="7">
        <v>32</v>
      </c>
      <c r="C35" s="8" t="s">
        <v>82</v>
      </c>
      <c r="D35" s="9" t="s">
        <v>83</v>
      </c>
      <c r="E35" s="9" t="s">
        <v>84</v>
      </c>
      <c r="F35" s="10">
        <v>0.01</v>
      </c>
      <c r="G35" s="11">
        <v>1</v>
      </c>
      <c r="H35" s="12">
        <f>F35 * G35 * 68937.156</f>
        <v>689.37156000000004</v>
      </c>
      <c r="I35" s="12">
        <f>F35 * G35 * 2140.763458</f>
        <v>21.40763458</v>
      </c>
      <c r="J35" s="12">
        <f t="shared" si="4"/>
        <v>0</v>
      </c>
      <c r="K35" s="12">
        <f>F35 * G35 * 21508.3926719999</f>
        <v>215.083926719999</v>
      </c>
      <c r="L35" s="13">
        <f t="shared" si="1"/>
        <v>925.86312129999908</v>
      </c>
    </row>
    <row r="36" spans="2:12" ht="25.5">
      <c r="B36" s="7">
        <v>33</v>
      </c>
      <c r="C36" s="8" t="s">
        <v>85</v>
      </c>
      <c r="D36" s="9" t="s">
        <v>86</v>
      </c>
      <c r="E36" s="9" t="s">
        <v>84</v>
      </c>
      <c r="F36" s="10">
        <v>0.01</v>
      </c>
      <c r="G36" s="11">
        <v>1</v>
      </c>
      <c r="H36" s="12">
        <f>F36 * G36 * 52506.661</f>
        <v>525.06660999999997</v>
      </c>
      <c r="I36" s="12">
        <f>F36 * G36 * 13384.689778</f>
        <v>133.84689778000001</v>
      </c>
      <c r="J36" s="12">
        <f t="shared" si="4"/>
        <v>0</v>
      </c>
      <c r="K36" s="12">
        <f>F36 * G36 * 16382.078232</f>
        <v>163.82078232000001</v>
      </c>
      <c r="L36" s="13">
        <f t="shared" si="1"/>
        <v>822.73429009999995</v>
      </c>
    </row>
    <row r="37" spans="2:12">
      <c r="B37" s="7">
        <v>34</v>
      </c>
      <c r="C37" s="8" t="s">
        <v>87</v>
      </c>
      <c r="D37" s="9" t="s">
        <v>88</v>
      </c>
      <c r="E37" s="9" t="s">
        <v>89</v>
      </c>
      <c r="F37" s="10">
        <v>1</v>
      </c>
      <c r="G37" s="11">
        <v>1</v>
      </c>
      <c r="H37" s="12">
        <f>F37 * G37 * 1443.060826</f>
        <v>1443.0608259999999</v>
      </c>
      <c r="I37" s="12">
        <f>F37 * G37 * 9459.733517</f>
        <v>9459.7335170000006</v>
      </c>
      <c r="J37" s="12">
        <f t="shared" si="4"/>
        <v>0</v>
      </c>
      <c r="K37" s="12">
        <f>F37 * G37 * 450.234977</f>
        <v>450.23497700000001</v>
      </c>
      <c r="L37" s="13">
        <f t="shared" si="1"/>
        <v>11353.029320000001</v>
      </c>
    </row>
    <row r="38" spans="2:12" ht="25.5">
      <c r="B38" s="7">
        <v>35</v>
      </c>
      <c r="C38" s="8" t="s">
        <v>90</v>
      </c>
      <c r="D38" s="9" t="s">
        <v>91</v>
      </c>
      <c r="E38" s="9" t="s">
        <v>92</v>
      </c>
      <c r="F38" s="10">
        <v>0.2</v>
      </c>
      <c r="G38" s="11">
        <v>1</v>
      </c>
      <c r="H38" s="12">
        <f>F38 * G38 * 482.866087</f>
        <v>96.573217400000004</v>
      </c>
      <c r="I38" s="12">
        <f>F38 * G38 * 2138.058412</f>
        <v>427.61168240000001</v>
      </c>
      <c r="J38" s="12">
        <f t="shared" si="4"/>
        <v>0</v>
      </c>
      <c r="K38" s="12">
        <f>F38 * G38 * 150.654219</f>
        <v>30.130843800000005</v>
      </c>
      <c r="L38" s="13">
        <f t="shared" si="1"/>
        <v>554.31574360000002</v>
      </c>
    </row>
    <row r="39" spans="2:12" ht="25.5">
      <c r="B39" s="7">
        <v>36</v>
      </c>
      <c r="C39" s="8" t="s">
        <v>93</v>
      </c>
      <c r="D39" s="9" t="s">
        <v>94</v>
      </c>
      <c r="E39" s="9" t="s">
        <v>95</v>
      </c>
      <c r="F39" s="10">
        <v>0.01</v>
      </c>
      <c r="G39" s="11">
        <v>1</v>
      </c>
      <c r="H39" s="12">
        <f>F39 * G39 * 187460</f>
        <v>1874.6000000000001</v>
      </c>
      <c r="I39" s="12">
        <f>F39 * G39 * 12357.452188</f>
        <v>123.57452187999999</v>
      </c>
      <c r="J39" s="12">
        <f t="shared" si="4"/>
        <v>0</v>
      </c>
      <c r="K39" s="12">
        <f>F39 * G39 * 58487.52</f>
        <v>584.87519999999995</v>
      </c>
      <c r="L39" s="13">
        <f t="shared" si="1"/>
        <v>2583.0497218800001</v>
      </c>
    </row>
    <row r="40" spans="2:12">
      <c r="B40" s="7">
        <v>37</v>
      </c>
      <c r="C40" s="8" t="s">
        <v>96</v>
      </c>
      <c r="D40" s="9" t="s">
        <v>97</v>
      </c>
      <c r="E40" s="9" t="s">
        <v>98</v>
      </c>
      <c r="F40" s="10">
        <v>0.02</v>
      </c>
      <c r="G40" s="11">
        <v>2</v>
      </c>
      <c r="H40" s="12">
        <f>F40 * G40 * 12163.84</f>
        <v>486.55360000000002</v>
      </c>
      <c r="I40" s="12">
        <f>F40 * G40 * 13301.676695</f>
        <v>532.06706780000002</v>
      </c>
      <c r="J40" s="12">
        <f t="shared" si="4"/>
        <v>0</v>
      </c>
      <c r="K40" s="12">
        <f>F40 * G40 * 3795.11807999999</f>
        <v>151.80472319999961</v>
      </c>
      <c r="L40" s="13">
        <f t="shared" si="1"/>
        <v>1170.4253909999998</v>
      </c>
    </row>
    <row r="41" spans="2:12">
      <c r="B41" s="7">
        <v>38</v>
      </c>
      <c r="C41" s="8" t="s">
        <v>99</v>
      </c>
      <c r="D41" s="9" t="s">
        <v>100</v>
      </c>
      <c r="E41" s="9" t="s">
        <v>98</v>
      </c>
      <c r="F41" s="10">
        <v>0.02</v>
      </c>
      <c r="G41" s="11">
        <v>2</v>
      </c>
      <c r="H41" s="12">
        <f>F41 * G41 * 12163.84</f>
        <v>486.55360000000002</v>
      </c>
      <c r="I41" s="12">
        <f>F41 * G41 * 19640.465625</f>
        <v>785.61862500000007</v>
      </c>
      <c r="J41" s="12">
        <f t="shared" si="4"/>
        <v>0</v>
      </c>
      <c r="K41" s="12">
        <f>F41 * G41 * 3795.11807999999</f>
        <v>151.80472319999961</v>
      </c>
      <c r="L41" s="13">
        <f t="shared" si="1"/>
        <v>1423.9769481999997</v>
      </c>
    </row>
    <row r="42" spans="2:12">
      <c r="B42" s="7">
        <v>39</v>
      </c>
      <c r="C42" s="8" t="s">
        <v>118</v>
      </c>
      <c r="D42" s="9" t="s">
        <v>119</v>
      </c>
      <c r="E42" s="9" t="s">
        <v>98</v>
      </c>
      <c r="F42" s="10">
        <v>0</v>
      </c>
      <c r="G42" s="11">
        <v>0</v>
      </c>
      <c r="H42" s="12">
        <f>F42 * G42 * 12163.84</f>
        <v>0</v>
      </c>
      <c r="I42" s="12">
        <f>F42 * G42 * 38755.688437</f>
        <v>0</v>
      </c>
      <c r="J42" s="12">
        <f t="shared" si="4"/>
        <v>0</v>
      </c>
      <c r="K42" s="12">
        <f>F42 * G42 * 3795.11807999999</f>
        <v>0</v>
      </c>
      <c r="L42" s="13">
        <f t="shared" si="1"/>
        <v>0</v>
      </c>
    </row>
    <row r="43" spans="2:12" ht="25.5">
      <c r="B43" s="7">
        <v>40</v>
      </c>
      <c r="C43" s="8" t="s">
        <v>101</v>
      </c>
      <c r="D43" s="9" t="s">
        <v>102</v>
      </c>
      <c r="E43" s="9" t="s">
        <v>103</v>
      </c>
      <c r="F43" s="10">
        <v>0.01</v>
      </c>
      <c r="G43" s="11">
        <v>1</v>
      </c>
      <c r="H43" s="12">
        <f>F43 * G43 * 25868.15</f>
        <v>258.68150000000003</v>
      </c>
      <c r="I43" s="12">
        <f>F43 * G43 * 45657.39542</f>
        <v>456.5739542</v>
      </c>
      <c r="J43" s="12">
        <f t="shared" si="4"/>
        <v>0</v>
      </c>
      <c r="K43" s="12">
        <f>F43 * G43 * 8070.8628</f>
        <v>80.708628000000004</v>
      </c>
      <c r="L43" s="13">
        <f t="shared" si="1"/>
        <v>795.96408220000001</v>
      </c>
    </row>
    <row r="44" spans="2:12" ht="25.5">
      <c r="B44" s="7">
        <v>41</v>
      </c>
      <c r="C44" s="8" t="s">
        <v>122</v>
      </c>
      <c r="D44" s="9" t="s">
        <v>123</v>
      </c>
      <c r="E44" s="9" t="s">
        <v>103</v>
      </c>
      <c r="F44" s="10">
        <v>0.01</v>
      </c>
      <c r="G44" s="11">
        <v>1</v>
      </c>
      <c r="H44" s="12">
        <f>F44 * G44 * 30101.12</f>
        <v>301.01119999999997</v>
      </c>
      <c r="I44" s="12">
        <f>F44 * G44 * 47631.87542</f>
        <v>476.3187542</v>
      </c>
      <c r="J44" s="12">
        <f t="shared" si="4"/>
        <v>0</v>
      </c>
      <c r="K44" s="12">
        <f>F44 * G44 * 9391.54944</f>
        <v>93.915494400000014</v>
      </c>
      <c r="L44" s="13">
        <f t="shared" si="1"/>
        <v>871.24544860000003</v>
      </c>
    </row>
    <row r="45" spans="2:12" ht="25.5">
      <c r="B45" s="14">
        <v>42</v>
      </c>
      <c r="C45" s="15" t="s">
        <v>104</v>
      </c>
      <c r="D45" s="16" t="s">
        <v>105</v>
      </c>
      <c r="E45" s="16" t="s">
        <v>106</v>
      </c>
      <c r="F45" s="17">
        <v>1</v>
      </c>
      <c r="G45" s="18">
        <v>1</v>
      </c>
      <c r="H45" s="19">
        <f>F45 * G45 * 134.957</f>
        <v>134.95699999999999</v>
      </c>
      <c r="I45" s="19">
        <f>F45 * G45 * 1261.0566</f>
        <v>1261.0565999999999</v>
      </c>
      <c r="J45" s="19">
        <f t="shared" si="4"/>
        <v>0</v>
      </c>
      <c r="K45" s="19">
        <f>F45 * G45 * 42.106584</f>
        <v>42.106583999999998</v>
      </c>
      <c r="L45" s="20">
        <f t="shared" si="1"/>
        <v>1438.1201839999999</v>
      </c>
    </row>
    <row r="46" spans="2:12" ht="15">
      <c r="B46" s="28" t="s">
        <v>26</v>
      </c>
      <c r="C46" s="28"/>
      <c r="D46" s="28"/>
      <c r="E46" s="28"/>
      <c r="F46" s="28"/>
      <c r="G46" s="28"/>
      <c r="H46" s="24">
        <f t="shared" ref="H46:L46" si="5">SUM(H4:H45)</f>
        <v>13636.570372060001</v>
      </c>
      <c r="I46" s="24">
        <f t="shared" si="5"/>
        <v>49002.340446009999</v>
      </c>
      <c r="J46" s="24">
        <f t="shared" si="5"/>
        <v>119.81797036</v>
      </c>
      <c r="K46" s="24">
        <f t="shared" si="5"/>
        <v>4263.8557868399976</v>
      </c>
      <c r="L46" s="24">
        <f t="shared" si="5"/>
        <v>67022.584575270012</v>
      </c>
    </row>
  </sheetData>
  <mergeCells count="2">
    <mergeCell ref="B2:K3"/>
    <mergeCell ref="B46:G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Шевч,4</vt:lpstr>
      <vt:lpstr>Шевч,2</vt:lpstr>
      <vt:lpstr>Шевч,1а</vt:lpstr>
      <vt:lpstr>Шевч,3а</vt:lpstr>
      <vt:lpstr>Базарная,4</vt:lpstr>
      <vt:lpstr>Гончарова,10</vt:lpstr>
      <vt:lpstr>Свободы,6</vt:lpstr>
      <vt:lpstr>Титова,20а</vt:lpstr>
      <vt:lpstr>'Шевч,4'!Заголовки_для_печати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Шевч-канализацияНовая смета 1</dc:title>
  <dc:subject/>
  <dc:creator/>
  <cp:keywords/>
  <dc:description/>
  <cp:lastModifiedBy/>
  <cp:lastPrinted>2023-03-29T08:54:19Z</cp:lastPrinted>
  <dcterms:created xsi:type="dcterms:W3CDTF">2023-03-29T08:54:19Z</dcterms:created>
  <dcterms:modified xsi:type="dcterms:W3CDTF">2024-01-25T12:57:31Z</dcterms:modified>
  <cp:category/>
</cp:coreProperties>
</file>